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4.xml" ContentType="application/vnd.ms-excel.controlpropertie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borgartun35-my.sharepoint.com/personal/gudmundur_heidar_borgartun35_is/Documents/Unnin verkefni/Heimasíða/"/>
    </mc:Choice>
  </mc:AlternateContent>
  <xr:revisionPtr revIDLastSave="0" documentId="8_{AD0493CA-EBBD-446C-9AE3-C745A02959F7}" xr6:coauthVersionLast="47" xr6:coauthVersionMax="47" xr10:uidLastSave="{00000000-0000-0000-0000-000000000000}"/>
  <bookViews>
    <workbookView xWindow="-28920" yWindow="-120" windowWidth="29040" windowHeight="15840" xr2:uid="{0AAC784A-C767-4D60-84EF-68B7DF41C32D}"/>
  </bookViews>
  <sheets>
    <sheet name="Verkafólk" sheetId="1" r:id="rId1"/>
    <sheet name="Afgreiðslufólk" sheetId="8" r:id="rId2"/>
    <sheet name="Skrifstofufólk" sheetId="10" r:id="rId3"/>
    <sheet name="Iðnaðarmenn" sheetId="1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1" l="1"/>
  <c r="F28" i="11"/>
  <c r="F9" i="11"/>
  <c r="F20" i="11" s="1"/>
  <c r="F22" i="11" s="1"/>
  <c r="F30" i="10"/>
  <c r="F28" i="10"/>
  <c r="F9" i="10"/>
  <c r="F20" i="10" s="1"/>
  <c r="F25" i="10" s="1"/>
  <c r="F9" i="8"/>
  <c r="F16" i="8" s="1"/>
  <c r="F30" i="8"/>
  <c r="F28" i="8"/>
  <c r="F18" i="11" l="1"/>
  <c r="F29" i="11"/>
  <c r="F29" i="10"/>
  <c r="F17" i="11"/>
  <c r="F15" i="11"/>
  <c r="F16" i="11"/>
  <c r="F27" i="11"/>
  <c r="F25" i="11"/>
  <c r="F23" i="11"/>
  <c r="F26" i="11"/>
  <c r="F24" i="11"/>
  <c r="F16" i="10"/>
  <c r="F18" i="10"/>
  <c r="F22" i="10"/>
  <c r="F27" i="10"/>
  <c r="F23" i="10"/>
  <c r="F26" i="10"/>
  <c r="F24" i="10"/>
  <c r="F15" i="10"/>
  <c r="F17" i="10"/>
  <c r="F15" i="8"/>
  <c r="F18" i="8"/>
  <c r="F17" i="8"/>
  <c r="F20" i="8"/>
  <c r="F29" i="8" s="1"/>
  <c r="F37" i="10" l="1"/>
  <c r="F37" i="11"/>
  <c r="F13" i="11"/>
  <c r="F13" i="10"/>
  <c r="F13" i="8"/>
  <c r="F27" i="8"/>
  <c r="F24" i="8"/>
  <c r="F26" i="8"/>
  <c r="F23" i="8"/>
  <c r="F25" i="8"/>
  <c r="F22" i="8"/>
  <c r="G17" i="11" l="1"/>
  <c r="G34" i="11"/>
  <c r="G32" i="11"/>
  <c r="G33" i="11"/>
  <c r="G23" i="10"/>
  <c r="G32" i="10"/>
  <c r="G33" i="10"/>
  <c r="G34" i="10"/>
  <c r="F37" i="8"/>
  <c r="G18" i="8"/>
  <c r="G32" i="8"/>
  <c r="G33" i="8"/>
  <c r="G34" i="8"/>
  <c r="G31" i="11"/>
  <c r="G13" i="11"/>
  <c r="G28" i="11"/>
  <c r="G30" i="11"/>
  <c r="G20" i="11"/>
  <c r="G41" i="11" s="1"/>
  <c r="G22" i="11"/>
  <c r="G26" i="11"/>
  <c r="G15" i="11"/>
  <c r="G24" i="11"/>
  <c r="G23" i="11"/>
  <c r="G16" i="11"/>
  <c r="G18" i="11"/>
  <c r="G27" i="11"/>
  <c r="G25" i="11"/>
  <c r="G29" i="11"/>
  <c r="G26" i="10"/>
  <c r="G17" i="10"/>
  <c r="G29" i="10"/>
  <c r="G31" i="10"/>
  <c r="G13" i="10"/>
  <c r="G16" i="10"/>
  <c r="G20" i="10"/>
  <c r="G41" i="10" s="1"/>
  <c r="G18" i="10"/>
  <c r="G30" i="10"/>
  <c r="G28" i="10"/>
  <c r="G27" i="10"/>
  <c r="G22" i="10"/>
  <c r="G24" i="10"/>
  <c r="G25" i="10"/>
  <c r="G15" i="10"/>
  <c r="G29" i="8"/>
  <c r="G22" i="8"/>
  <c r="G23" i="8"/>
  <c r="G17" i="8"/>
  <c r="G26" i="8"/>
  <c r="G24" i="8"/>
  <c r="G25" i="8"/>
  <c r="G27" i="8"/>
  <c r="G28" i="8"/>
  <c r="G13" i="8"/>
  <c r="G31" i="8"/>
  <c r="G16" i="8"/>
  <c r="G30" i="8"/>
  <c r="G20" i="8"/>
  <c r="G41" i="8" s="1"/>
  <c r="G15" i="8"/>
  <c r="G37" i="10" l="1"/>
  <c r="G43" i="10" s="1"/>
  <c r="G42" i="10" s="1"/>
  <c r="G37" i="8"/>
  <c r="G43" i="8" s="1"/>
  <c r="G42" i="8" s="1"/>
  <c r="G37" i="11"/>
  <c r="G43" i="11" s="1"/>
  <c r="G42" i="11" s="1"/>
  <c r="F30" i="1"/>
  <c r="F9" i="1"/>
  <c r="F16" i="1" s="1"/>
  <c r="F18" i="1" l="1"/>
  <c r="F15" i="1"/>
  <c r="F17" i="1"/>
  <c r="F20" i="1"/>
  <c r="F28" i="1"/>
  <c r="F29" i="1" l="1"/>
  <c r="F26" i="1"/>
  <c r="F25" i="1"/>
  <c r="F13" i="1"/>
  <c r="G15" i="1" s="1"/>
  <c r="F27" i="1"/>
  <c r="F22" i="1"/>
  <c r="F23" i="1"/>
  <c r="F24" i="1"/>
  <c r="F37" i="1" l="1"/>
  <c r="G32" i="1"/>
  <c r="G33" i="1"/>
  <c r="G34" i="1"/>
  <c r="G13" i="1"/>
  <c r="G16" i="1"/>
  <c r="G18" i="1"/>
  <c r="G17" i="1"/>
  <c r="G24" i="1"/>
  <c r="G28" i="1"/>
  <c r="G31" i="1"/>
  <c r="G30" i="1"/>
  <c r="G20" i="1"/>
  <c r="G41" i="1" s="1"/>
  <c r="G29" i="1"/>
  <c r="G26" i="1"/>
  <c r="G22" i="1"/>
  <c r="G25" i="1"/>
  <c r="G23" i="1"/>
  <c r="G27" i="1"/>
  <c r="G37" i="1" l="1"/>
  <c r="G43" i="1" s="1"/>
  <c r="G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Ólafur Garðar Halldórsson</author>
    <author>Hannes G. Sigurðsson</author>
  </authors>
  <commentList>
    <comment ref="D8" authorId="0" shapeId="0" xr:uid="{DA749F41-75FE-4D4D-9E79-FEA4AA19BF12}">
      <text>
        <r>
          <rPr>
            <sz val="9"/>
            <color indexed="81"/>
            <rFont val="Tahoma"/>
            <family val="2"/>
          </rPr>
          <t xml:space="preserve">Stuðst er við gögn um meðaltal heildarlauna verkafólks á mánuði árið 2020 skv. Hagstofu Íslands. Þau eru svo uppreiknuð m.v. breytingu á ársmeðaltali launavísitölu verkafólks 2020 og meðaltali jan-sept fyrir árið 2021.
</t>
        </r>
      </text>
    </comment>
    <comment ref="D15" authorId="0" shapeId="0" xr:uid="{C7B50327-736D-4281-A14E-1B6D84F0E832}">
      <text>
        <r>
          <rPr>
            <b/>
            <sz val="9"/>
            <color indexed="81"/>
            <rFont val="Tahoma"/>
            <family val="2"/>
          </rPr>
          <t>Orlof
10,17% - 24 dagar
10,64% - 25 dagar
11,11% - 26 dagar
11,59% - 27 dagar
12,07% - 28 dagar
12,55% - 29 dagar
13,04% - 30 dagar</t>
        </r>
      </text>
    </comment>
    <comment ref="D17" authorId="0" shapeId="0" xr:uid="{2EE56FEE-3D09-40DA-AB19-495BE0244878}">
      <text>
        <r>
          <rPr>
            <sz val="9"/>
            <color indexed="81"/>
            <rFont val="Tahoma"/>
            <family val="2"/>
          </rPr>
          <t xml:space="preserve">Óunnir kaffitímar í hlutfalli af greiddum vinnutíma.
</t>
        </r>
      </text>
    </comment>
    <comment ref="D18" authorId="0" shapeId="0" xr:uid="{C71EDDD6-8111-4EC1-B08A-CD96BBE7B096}">
      <text>
        <r>
          <rPr>
            <sz val="9"/>
            <color indexed="81"/>
            <rFont val="Tahoma"/>
            <family val="2"/>
          </rPr>
          <t xml:space="preserve">Hlutfall virkra daga án frís, þ.e. orlofs sem starfsmaður er frá vinnu vegna eigin veikinda eða barna.
Sjálfgefið gildi byggir á könnun.
</t>
        </r>
      </text>
    </comment>
    <comment ref="D23" authorId="1" shapeId="0" xr:uid="{F796DD50-8AE8-4E40-A1C5-121F790DBC55}">
      <text>
        <r>
          <rPr>
            <sz val="8"/>
            <color indexed="81"/>
            <rFont val="Tahoma"/>
            <family val="2"/>
          </rPr>
          <t>Áætlunin byggir á upplýsingum í Tíund, fréttabréfi.
Algengast er að launagreiðandi greiði 0% eða 2% viðbótarframlag í lífeyrissjóð.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Ólafur Garðar Halldórsson</author>
    <author>Hannes G. Sigurðsson</author>
  </authors>
  <commentList>
    <comment ref="D8" authorId="0" shapeId="0" xr:uid="{BCC3F6C3-9411-4BEB-B27B-A328AA1BFBC3}">
      <text>
        <r>
          <rPr>
            <sz val="9"/>
            <color indexed="81"/>
            <rFont val="Tahoma"/>
            <family val="2"/>
          </rPr>
          <t xml:space="preserve">Stuðst er við gögn um meðaltal heildarlauna þjónustu-, sölu- og afgreiðslufólks á mánuði árið 2020 skv. Hagstofu Íslands. Þau eru svo uppreiknuð m.v. breytingu á ársmeðaltali launavísitölu þjónutu-, sölu- og afgreiðslufólks 2020 og meðaltali jan-sept fyrir árið 2021.
</t>
        </r>
      </text>
    </comment>
    <comment ref="D15" authorId="0" shapeId="0" xr:uid="{9E4971A0-E7BF-4F5B-A91A-6086F56976EB}">
      <text>
        <r>
          <rPr>
            <b/>
            <sz val="9"/>
            <color indexed="81"/>
            <rFont val="Tahoma"/>
            <family val="2"/>
          </rPr>
          <t>Orlof
10,17% - 24 dagar
10,64% - 25 dagar
11,11% - 26 dagar
11,59% - 27 dagar
12,07% - 28 dagar
12,55% - 29 dagar
13,04% - 30 dagar</t>
        </r>
      </text>
    </comment>
    <comment ref="D18" authorId="0" shapeId="0" xr:uid="{87619C2B-719D-451F-80F1-A24999603FC4}">
      <text>
        <r>
          <rPr>
            <sz val="9"/>
            <color indexed="81"/>
            <rFont val="Tahoma"/>
            <family val="2"/>
          </rPr>
          <t xml:space="preserve">Hlutfall virkra daga án frís, þ.e. orlofs sem starfsmaður er frá vinnu vegna eigin veikinda eða barna.
Sjálfgefið gildi byggir á könnun.
</t>
        </r>
      </text>
    </comment>
    <comment ref="D23" authorId="1" shapeId="0" xr:uid="{61E249E0-5BA4-42DB-BD85-604F3890F36C}">
      <text>
        <r>
          <rPr>
            <sz val="8"/>
            <color indexed="81"/>
            <rFont val="Tahoma"/>
            <family val="2"/>
          </rPr>
          <t>Áætlunin byggir á upplýsingum í Tíund, fréttabréfi.
Algengast er að launagreiðandi greiði 0% eða 2% viðbótarframlag í lífeyrissjóð.</t>
        </r>
      </text>
    </comment>
    <comment ref="D25" authorId="0" shapeId="0" xr:uid="{4C75C249-4400-4668-9C8D-BDB93640F78B}">
      <text>
        <r>
          <rPr>
            <sz val="9"/>
            <color indexed="81"/>
            <rFont val="Tahoma"/>
            <family val="2"/>
          </rPr>
          <t>Skv. kjarasamningi greiðist 0,25% í orlofsheimilasjóði verslunarmannafélaga og til viðbótar 0,25% í félagsheimilasjóð verslunarsamtakanna.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Ólafur Garðar Halldórsson</author>
    <author>Hannes G. Sigurðsson</author>
  </authors>
  <commentList>
    <comment ref="D8" authorId="0" shapeId="0" xr:uid="{E504E506-8208-42D9-82A9-C67B9F3805B8}">
      <text>
        <r>
          <rPr>
            <sz val="9"/>
            <color indexed="81"/>
            <rFont val="Tahoma"/>
            <family val="2"/>
          </rPr>
          <t xml:space="preserve">Stuðst er við gögn um meðaltal heildarlauna skrifstofufólks á mánuði árið 2020 skv. Hagstofu Íslands. Þau eru svo uppreiknuð m.v. breytingu á ársmeðaltali launavísitölu skrifstofufólks 2020 og meðaltali jan-sept fyrir árið 2021.
</t>
        </r>
      </text>
    </comment>
    <comment ref="D15" authorId="0" shapeId="0" xr:uid="{EC5BFB82-B0A7-4554-9CFC-2636F5B2E9BB}">
      <text>
        <r>
          <rPr>
            <b/>
            <sz val="9"/>
            <color indexed="81"/>
            <rFont val="Tahoma"/>
            <family val="2"/>
          </rPr>
          <t>Orlof
10,17% - 24 dagar
10,64% - 25 dagar
11,11% - 26 dagar
11,59% - 27 dagar
12,07% - 28 dagar
12,55% - 29 dagar
13,04% - 30 dagar</t>
        </r>
      </text>
    </comment>
    <comment ref="D18" authorId="0" shapeId="0" xr:uid="{CBA8B8E0-D770-4AF7-B9A1-990549B329F4}">
      <text>
        <r>
          <rPr>
            <sz val="9"/>
            <color indexed="81"/>
            <rFont val="Tahoma"/>
            <family val="2"/>
          </rPr>
          <t xml:space="preserve">Hlutfall virkra daga án frís, þ.e. orlofs sem starfsmaður er frá vinnu vegna eigin veikinda eða barna.
Sjálfgefið gildi byggir á könnun.
</t>
        </r>
      </text>
    </comment>
    <comment ref="D23" authorId="1" shapeId="0" xr:uid="{05FCF517-85F5-4719-AECB-1F9520636830}">
      <text>
        <r>
          <rPr>
            <sz val="8"/>
            <color indexed="81"/>
            <rFont val="Tahoma"/>
            <family val="2"/>
          </rPr>
          <t>Áætlunin byggir á upplýsingum í Tíund, fréttabréfi.
Algengast er að launagreiðandi greiði 0% eða 2% viðbótarframlag í lífeyrissjóð.</t>
        </r>
      </text>
    </comment>
    <comment ref="D25" authorId="0" shapeId="0" xr:uid="{47EEFA0C-7EA3-4CC7-869D-4276925D0CA6}">
      <text>
        <r>
          <rPr>
            <sz val="9"/>
            <color indexed="81"/>
            <rFont val="Tahoma"/>
            <family val="2"/>
          </rPr>
          <t>Skv. kjarasamningi greiðist 0,25% í orlofsheimilasjóði verslunarmannafélaga og til viðbótar 0,25% í félagsheimilasjóð verslunarsamtakanna.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Ólafur Garðar Halldórsson</author>
    <author>Hannes G. Sigurðsson</author>
  </authors>
  <commentList>
    <comment ref="D8" authorId="0" shapeId="0" xr:uid="{193D8F61-53EE-4F8D-B2E5-EA17FCD5DB19}">
      <text>
        <r>
          <rPr>
            <sz val="9"/>
            <color indexed="81"/>
            <rFont val="Tahoma"/>
            <family val="2"/>
          </rPr>
          <t xml:space="preserve">Stuðst er við gögn um meðaltal heildarlauna iðnaðarmanna á mánuði árið 2020 skv. Hagstofu Íslands. Þau eru svo uppreiknuð m.v. breytingu á ársmeðaltali launavísitölu iðnaðarmanna 2020 og meðaltali jan-sept fyrir árið 2021.
</t>
        </r>
      </text>
    </comment>
    <comment ref="D15" authorId="0" shapeId="0" xr:uid="{F15889AB-8074-45FE-91F6-A758A0D73123}">
      <text>
        <r>
          <rPr>
            <b/>
            <sz val="9"/>
            <color indexed="81"/>
            <rFont val="Tahoma"/>
            <family val="2"/>
          </rPr>
          <t>Orlof
10,17% - 24 dagar
10,64% - 25 dagar
11,11% - 26 dagar
11,59% - 27 dagar
12,07% - 28 dagar
12,55% - 29 dagar
13,04% - 30 dagar</t>
        </r>
      </text>
    </comment>
    <comment ref="D17" authorId="0" shapeId="0" xr:uid="{9F428608-6A2D-4C90-A651-3A7B65243AD6}">
      <text>
        <r>
          <rPr>
            <sz val="9"/>
            <color indexed="81"/>
            <rFont val="Tahoma"/>
            <family val="2"/>
          </rPr>
          <t xml:space="preserve">Í gildandi kjs. var tekinn upp virkur vinnutími og tímakaup hækkað sem nemur kaffitímum. Ef fyrirkomulaginu var ekki breytt má skrifa 7,3% í reit E17. Þ.e. (35/60)/(40/5) = 7,3%
Ef kosið hefur verið um vinnutímastyttingu 2022 má skrifa 7,4% (35/60)/(39.25/5)
</t>
        </r>
      </text>
    </comment>
    <comment ref="D18" authorId="0" shapeId="0" xr:uid="{47BF720B-E2EA-415B-BB02-308AD0C1CFE5}">
      <text>
        <r>
          <rPr>
            <sz val="9"/>
            <color indexed="81"/>
            <rFont val="Tahoma"/>
            <family val="2"/>
          </rPr>
          <t xml:space="preserve">Hlutfall virkra daga án frís, þ.e. orlofs sem starfsmaður er frá vinnu vegna eigin veikinda eða barna.
Sjálfgefið gildi byggir á könnun.
</t>
        </r>
      </text>
    </comment>
    <comment ref="D23" authorId="1" shapeId="0" xr:uid="{BFF45F1A-56A2-4D29-803F-E146FE49DF98}">
      <text>
        <r>
          <rPr>
            <sz val="8"/>
            <color indexed="81"/>
            <rFont val="Tahoma"/>
            <family val="2"/>
          </rPr>
          <t>Áætlunin byggir á upplýsingum í Tíund, fréttabréfi.
Algengast er að launagreiðandi greiði 0% eða 2% viðbótarframlag í lífeyrissjóð.</t>
        </r>
      </text>
    </comment>
    <comment ref="D24" authorId="0" shapeId="0" xr:uid="{F242A737-BB22-4F51-BA1A-5E18BDBB9444}">
      <text>
        <r>
          <rPr>
            <sz val="9"/>
            <color indexed="81"/>
            <rFont val="Tahoma"/>
            <family val="2"/>
          </rPr>
          <t xml:space="preserve">M.v. kjarasamninga SA við Samiðn og VM.
</t>
        </r>
      </text>
    </comment>
    <comment ref="D25" authorId="0" shapeId="0" xr:uid="{D804E476-FCC5-42B1-8C61-1A5A6463B87F}">
      <text>
        <r>
          <rPr>
            <sz val="9"/>
            <color indexed="81"/>
            <rFont val="Tahoma"/>
            <family val="2"/>
          </rPr>
          <t>M.v. kjarasamninga SA við Samiðn og VM.</t>
        </r>
      </text>
    </comment>
    <comment ref="D26" authorId="0" shapeId="0" xr:uid="{025283FC-CA59-4EA8-BE15-63E057D82FC1}">
      <text>
        <r>
          <rPr>
            <sz val="9"/>
            <color indexed="81"/>
            <rFont val="Tahoma"/>
            <family val="2"/>
          </rPr>
          <t>M.v. kjarasamninga SA við Samiðn og VM.</t>
        </r>
      </text>
    </comment>
    <comment ref="D27" authorId="0" shapeId="0" xr:uid="{A29E2F91-1F34-4C90-8BB8-0372BC79ED7E}">
      <text>
        <r>
          <rPr>
            <sz val="9"/>
            <color indexed="81"/>
            <rFont val="Tahoma"/>
            <family val="2"/>
          </rPr>
          <t>M.v. kjarasamninga SA við Samiðn og VM.</t>
        </r>
      </text>
    </comment>
  </commentList>
</comments>
</file>

<file path=xl/sharedStrings.xml><?xml version="1.0" encoding="utf-8"?>
<sst xmlns="http://schemas.openxmlformats.org/spreadsheetml/2006/main" count="296" uniqueCount="82">
  <si>
    <t>SA</t>
  </si>
  <si>
    <t>Heildarlaunakostnaður verkafólks</t>
  </si>
  <si>
    <t xml:space="preserve"> </t>
  </si>
  <si>
    <t xml:space="preserve">1. </t>
  </si>
  <si>
    <t>Árstekjur síðasta árs (með orlofi)</t>
  </si>
  <si>
    <t>2.</t>
  </si>
  <si>
    <t>Mánaðartekjur nú án orlofs</t>
  </si>
  <si>
    <t>Á mánuði</t>
  </si>
  <si>
    <t>3.</t>
  </si>
  <si>
    <t xml:space="preserve">Mánaðarlaun fyrir unninn tíma </t>
  </si>
  <si>
    <t>Liður 8. að frádregnum liðum 4., 5., 6. og 7.</t>
  </si>
  <si>
    <t>4.</t>
  </si>
  <si>
    <t xml:space="preserve">Orlof </t>
  </si>
  <si>
    <t>Áætlað 11,11% af 2.</t>
  </si>
  <si>
    <t>5.</t>
  </si>
  <si>
    <t>Sérstakir frídagar</t>
  </si>
  <si>
    <t>6.</t>
  </si>
  <si>
    <t>Óunnir kaffitímar</t>
  </si>
  <si>
    <t>7.</t>
  </si>
  <si>
    <t>8.</t>
  </si>
  <si>
    <t>Mánaðarlaun með orlofi</t>
  </si>
  <si>
    <t>9.</t>
  </si>
  <si>
    <t xml:space="preserve">Lífeyrissjóður </t>
  </si>
  <si>
    <t>10.</t>
  </si>
  <si>
    <t>Viðbótarframlag í lífeyrissjóð</t>
  </si>
  <si>
    <t>11.</t>
  </si>
  <si>
    <t>Sjúkrasjóður</t>
  </si>
  <si>
    <t>12.</t>
  </si>
  <si>
    <t>Orlofsheimilasjóður</t>
  </si>
  <si>
    <t>13.</t>
  </si>
  <si>
    <t>Starfsmenntasjóður</t>
  </si>
  <si>
    <t>Samningsbundið iðgjald, 0,3%, af 8.</t>
  </si>
  <si>
    <t>14.</t>
  </si>
  <si>
    <t>Starfsendurhæfingarsjóður</t>
  </si>
  <si>
    <t>15.</t>
  </si>
  <si>
    <t>Slysatrygging</t>
  </si>
  <si>
    <t>16.</t>
  </si>
  <si>
    <t xml:space="preserve">Tryggingagjald </t>
  </si>
  <si>
    <t>17.</t>
  </si>
  <si>
    <t>Félagsgjöld atvinnurekenda</t>
  </si>
  <si>
    <t>18.</t>
  </si>
  <si>
    <t>Samtals launakostnaður fyrir unninn og óunninn tíma</t>
  </si>
  <si>
    <t>ásamt launatengdum gjöldum</t>
  </si>
  <si>
    <t>Samandregin hlutföll</t>
  </si>
  <si>
    <t xml:space="preserve">      %  </t>
  </si>
  <si>
    <t>Laun fyrir óunninn tíma</t>
  </si>
  <si>
    <t>Launatengd gjöld</t>
  </si>
  <si>
    <t>Óbeinn launakostnaður alls</t>
  </si>
  <si>
    <t>Forsendur</t>
  </si>
  <si>
    <t>19.</t>
  </si>
  <si>
    <t>Skýringar og sjálfgefin gildi</t>
  </si>
  <si>
    <t>Reitir sem hægt er að breyta</t>
  </si>
  <si>
    <t>Heildarlaunakostnaður afgreiðslufólks</t>
  </si>
  <si>
    <t>Áætlað 12,07% af 2.</t>
  </si>
  <si>
    <t>11,2 dagar að jafnaði, 4,3% af 2.</t>
  </si>
  <si>
    <t>Áætlað 3,8% af 2.</t>
  </si>
  <si>
    <t>Samningsbundið iðgjald, 11,5% af 8.</t>
  </si>
  <si>
    <t>Samn.bundið, áætlað meðaltal 1,3% af 8.</t>
  </si>
  <si>
    <t>Samningsbundið iðgjald, 1,0% af 8.</t>
  </si>
  <si>
    <t>Samningsbundið iðgjald 0,25% af 8.</t>
  </si>
  <si>
    <t>Samningsbundið iðgjald, 0,10% af 8.</t>
  </si>
  <si>
    <t>Samningsbundin, áætlað iðgjald</t>
  </si>
  <si>
    <t>Áætluð 0,35% af 1.</t>
  </si>
  <si>
    <t>Samningsbundið iðgjald 0,5% af 8.</t>
  </si>
  <si>
    <t>Heildarlaunakostnaður skrifstofufólks</t>
  </si>
  <si>
    <t>Heildarlaunakostnaður iðnaðarmanna</t>
  </si>
  <si>
    <t>Liður 7. að frádregnum liðum 4., 5., 6. og 7.</t>
  </si>
  <si>
    <t>(35/60)/(38,75/5) = 7,5% af 2.</t>
  </si>
  <si>
    <t>(35/60)/(40/5) = 7,3% af 2.</t>
  </si>
  <si>
    <t>(15/60)/(36,75/5) =  3,4% af 2.</t>
  </si>
  <si>
    <t>0% m.v. að greitt sé fyrir virkan vinnutíma.</t>
  </si>
  <si>
    <t>Hlutfall af 3.</t>
  </si>
  <si>
    <t>Veikindi og slys starfsmanns og barna</t>
  </si>
  <si>
    <t>20.</t>
  </si>
  <si>
    <t>21.</t>
  </si>
  <si>
    <t>22.</t>
  </si>
  <si>
    <t>Annað, kr.</t>
  </si>
  <si>
    <t>Annað, kr. sem ber tryggingagjald</t>
  </si>
  <si>
    <t>Samningsbundið iðgjald, 0,5%, af 8.</t>
  </si>
  <si>
    <t>6,35% af launum + framl. atvr. í lífeyrissjóði</t>
  </si>
  <si>
    <t>T.d. ökutækjastyrkur og fæðispeningar</t>
  </si>
  <si>
    <t>Áætluð heildarlaun að meðaltali árið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</si>
</sst>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,000"/>
    <numFmt numFmtId="165" formatCode="d\-mmm\-yy"/>
    <numFmt numFmtId="166" formatCode="0.0"/>
    <numFmt numFmtId="167" formatCode="#.###"/>
    <numFmt numFmtId="168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10" fontId="2" fillId="3" borderId="0" xfId="1" applyNumberFormat="1" applyFont="1" applyFill="1" applyBorder="1" applyProtection="1">
      <protection locked="0"/>
    </xf>
    <xf numFmtId="10" fontId="2" fillId="3" borderId="4" xfId="1" applyNumberFormat="1" applyFont="1" applyFill="1" applyBorder="1" applyProtection="1">
      <protection locked="0"/>
    </xf>
    <xf numFmtId="0" fontId="2" fillId="2" borderId="0" xfId="0" applyFont="1" applyFill="1" applyProtection="1"/>
    <xf numFmtId="3" fontId="2" fillId="2" borderId="0" xfId="0" applyNumberFormat="1" applyFont="1" applyFill="1" applyProtection="1"/>
    <xf numFmtId="166" fontId="2" fillId="2" borderId="3" xfId="0" applyNumberFormat="1" applyFont="1" applyFill="1" applyBorder="1" applyAlignment="1" applyProtection="1">
      <alignment horizontal="right"/>
    </xf>
    <xf numFmtId="10" fontId="2" fillId="2" borderId="0" xfId="0" applyNumberFormat="1" applyFont="1" applyFill="1" applyProtection="1"/>
    <xf numFmtId="0" fontId="4" fillId="2" borderId="0" xfId="0" applyFont="1" applyFill="1" applyProtection="1"/>
    <xf numFmtId="166" fontId="4" fillId="2" borderId="3" xfId="0" applyNumberFormat="1" applyFont="1" applyFill="1" applyBorder="1" applyAlignment="1" applyProtection="1">
      <alignment horizontal="right"/>
    </xf>
    <xf numFmtId="166" fontId="2" fillId="2" borderId="3" xfId="0" applyNumberFormat="1" applyFont="1" applyFill="1" applyBorder="1" applyAlignment="1" applyProtection="1">
      <alignment horizontal="center"/>
    </xf>
    <xf numFmtId="0" fontId="4" fillId="2" borderId="4" xfId="0" applyFont="1" applyFill="1" applyBorder="1" applyProtection="1"/>
    <xf numFmtId="3" fontId="5" fillId="2" borderId="4" xfId="0" applyNumberFormat="1" applyFont="1" applyFill="1" applyBorder="1" applyAlignment="1" applyProtection="1">
      <alignment horizontal="right"/>
    </xf>
    <xf numFmtId="166" fontId="4" fillId="2" borderId="4" xfId="0" applyNumberFormat="1" applyFont="1" applyFill="1" applyBorder="1" applyAlignment="1" applyProtection="1">
      <alignment horizontal="right"/>
    </xf>
    <xf numFmtId="166" fontId="5" fillId="2" borderId="3" xfId="0" applyNumberFormat="1" applyFont="1" applyFill="1" applyBorder="1" applyAlignment="1" applyProtection="1">
      <alignment horizontal="center"/>
    </xf>
    <xf numFmtId="168" fontId="2" fillId="2" borderId="0" xfId="1" applyNumberFormat="1" applyFont="1" applyFill="1" applyBorder="1" applyProtection="1"/>
    <xf numFmtId="168" fontId="2" fillId="2" borderId="3" xfId="1" applyNumberFormat="1" applyFont="1" applyFill="1" applyBorder="1" applyProtection="1"/>
    <xf numFmtId="0" fontId="2" fillId="2" borderId="4" xfId="0" applyFont="1" applyFill="1" applyBorder="1" applyProtection="1"/>
    <xf numFmtId="3" fontId="2" fillId="2" borderId="4" xfId="0" applyNumberFormat="1" applyFont="1" applyFill="1" applyBorder="1" applyProtection="1"/>
    <xf numFmtId="168" fontId="2" fillId="2" borderId="4" xfId="1" applyNumberFormat="1" applyFont="1" applyFill="1" applyBorder="1" applyProtection="1"/>
    <xf numFmtId="168" fontId="4" fillId="2" borderId="0" xfId="1" applyNumberFormat="1" applyFont="1" applyFill="1" applyBorder="1" applyProtection="1"/>
    <xf numFmtId="3" fontId="2" fillId="2" borderId="5" xfId="0" applyNumberFormat="1" applyFont="1" applyFill="1" applyBorder="1" applyProtection="1"/>
    <xf numFmtId="3" fontId="7" fillId="2" borderId="0" xfId="0" applyNumberFormat="1" applyFont="1" applyFill="1" applyProtection="1"/>
    <xf numFmtId="166" fontId="2" fillId="2" borderId="4" xfId="0" applyNumberFormat="1" applyFont="1" applyFill="1" applyBorder="1" applyAlignment="1" applyProtection="1">
      <alignment horizontal="right"/>
    </xf>
    <xf numFmtId="10" fontId="2" fillId="2" borderId="0" xfId="1" applyNumberFormat="1" applyFont="1" applyFill="1" applyBorder="1" applyProtection="1"/>
    <xf numFmtId="0" fontId="2" fillId="2" borderId="3" xfId="0" applyFont="1" applyFill="1" applyBorder="1" applyProtection="1"/>
    <xf numFmtId="3" fontId="4" fillId="2" borderId="4" xfId="0" applyNumberFormat="1" applyFont="1" applyFill="1" applyBorder="1" applyAlignment="1" applyProtection="1">
      <alignment horizontal="left"/>
    </xf>
    <xf numFmtId="3" fontId="4" fillId="2" borderId="4" xfId="0" applyNumberFormat="1" applyFont="1" applyFill="1" applyBorder="1" applyAlignment="1" applyProtection="1">
      <alignment horizontal="right"/>
    </xf>
    <xf numFmtId="0" fontId="5" fillId="2" borderId="3" xfId="0" applyFont="1" applyFill="1" applyBorder="1" applyAlignment="1" applyProtection="1">
      <alignment horizontal="right"/>
    </xf>
    <xf numFmtId="0" fontId="2" fillId="2" borderId="1" xfId="0" applyFont="1" applyFill="1" applyBorder="1" applyProtection="1"/>
    <xf numFmtId="0" fontId="7" fillId="2" borderId="1" xfId="0" applyFont="1" applyFill="1" applyBorder="1" applyAlignment="1" applyProtection="1">
      <alignment horizontal="right"/>
    </xf>
    <xf numFmtId="14" fontId="2" fillId="2" borderId="1" xfId="0" applyNumberFormat="1" applyFont="1" applyFill="1" applyBorder="1" applyAlignment="1" applyProtection="1">
      <alignment horizontal="right"/>
    </xf>
    <xf numFmtId="0" fontId="2" fillId="2" borderId="2" xfId="0" applyFont="1" applyFill="1" applyBorder="1" applyAlignment="1" applyProtection="1">
      <alignment horizontal="center"/>
    </xf>
    <xf numFmtId="165" fontId="2" fillId="2" borderId="3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Continuous"/>
    </xf>
    <xf numFmtId="0" fontId="2" fillId="2" borderId="5" xfId="0" applyFont="1" applyFill="1" applyBorder="1" applyProtection="1"/>
    <xf numFmtId="0" fontId="2" fillId="2" borderId="0" xfId="0" applyFont="1" applyFill="1" applyBorder="1" applyProtection="1"/>
    <xf numFmtId="164" fontId="2" fillId="2" borderId="6" xfId="0" applyNumberFormat="1" applyFont="1" applyFill="1" applyBorder="1" applyProtection="1"/>
    <xf numFmtId="0" fontId="2" fillId="2" borderId="7" xfId="0" applyFont="1" applyFill="1" applyBorder="1" applyProtection="1"/>
    <xf numFmtId="164" fontId="2" fillId="2" borderId="0" xfId="0" applyNumberFormat="1" applyFont="1" applyFill="1" applyBorder="1" applyProtection="1"/>
    <xf numFmtId="3" fontId="2" fillId="2" borderId="0" xfId="0" applyNumberFormat="1" applyFont="1" applyFill="1" applyBorder="1" applyProtection="1"/>
    <xf numFmtId="165" fontId="2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3" fontId="2" fillId="3" borderId="0" xfId="0" applyNumberFormat="1" applyFont="1" applyFill="1" applyBorder="1" applyProtection="1">
      <protection locked="0"/>
    </xf>
    <xf numFmtId="3" fontId="7" fillId="2" borderId="0" xfId="0" applyNumberFormat="1" applyFont="1" applyFill="1" applyBorder="1" applyProtection="1"/>
    <xf numFmtId="3" fontId="2" fillId="2" borderId="0" xfId="0" applyNumberFormat="1" applyFont="1" applyFill="1" applyBorder="1" applyAlignment="1" applyProtection="1">
      <alignment horizontal="right"/>
    </xf>
    <xf numFmtId="166" fontId="2" fillId="2" borderId="0" xfId="0" applyNumberFormat="1" applyFont="1" applyFill="1" applyBorder="1" applyAlignment="1" applyProtection="1">
      <alignment horizontal="right"/>
    </xf>
    <xf numFmtId="167" fontId="2" fillId="2" borderId="0" xfId="0" applyNumberFormat="1" applyFont="1" applyFill="1" applyBorder="1" applyProtection="1"/>
    <xf numFmtId="0" fontId="7" fillId="2" borderId="7" xfId="0" applyFont="1" applyFill="1" applyBorder="1" applyProtection="1"/>
    <xf numFmtId="10" fontId="2" fillId="2" borderId="0" xfId="0" applyNumberFormat="1" applyFont="1" applyFill="1" applyBorder="1" applyProtection="1"/>
    <xf numFmtId="10" fontId="2" fillId="3" borderId="0" xfId="0" applyNumberFormat="1" applyFont="1" applyFill="1" applyBorder="1" applyProtection="1">
      <protection locked="0"/>
    </xf>
    <xf numFmtId="0" fontId="7" fillId="2" borderId="0" xfId="0" applyFont="1" applyFill="1" applyBorder="1" applyProtection="1"/>
    <xf numFmtId="0" fontId="4" fillId="2" borderId="7" xfId="0" applyFont="1" applyFill="1" applyBorder="1" applyProtection="1"/>
    <xf numFmtId="3" fontId="4" fillId="2" borderId="0" xfId="0" applyNumberFormat="1" applyFont="1" applyFill="1" applyBorder="1" applyProtection="1"/>
    <xf numFmtId="166" fontId="4" fillId="2" borderId="0" xfId="0" applyNumberFormat="1" applyFont="1" applyFill="1" applyBorder="1" applyAlignment="1" applyProtection="1">
      <alignment horizontal="right"/>
    </xf>
    <xf numFmtId="3" fontId="4" fillId="2" borderId="0" xfId="0" applyNumberFormat="1" applyFont="1" applyFill="1" applyBorder="1" applyAlignment="1" applyProtection="1">
      <alignment horizontal="right"/>
    </xf>
    <xf numFmtId="166" fontId="2" fillId="2" borderId="0" xfId="0" applyNumberFormat="1" applyFont="1" applyFill="1" applyBorder="1" applyAlignment="1" applyProtection="1">
      <alignment horizontal="center"/>
    </xf>
    <xf numFmtId="3" fontId="2" fillId="2" borderId="8" xfId="0" applyNumberFormat="1" applyFont="1" applyFill="1" applyBorder="1" applyProtection="1"/>
    <xf numFmtId="3" fontId="2" fillId="0" borderId="0" xfId="0" applyNumberFormat="1" applyFont="1" applyFill="1" applyBorder="1" applyProtection="1"/>
    <xf numFmtId="3" fontId="2" fillId="2" borderId="7" xfId="0" applyNumberFormat="1" applyFont="1" applyFill="1" applyBorder="1" applyProtection="1"/>
    <xf numFmtId="9" fontId="2" fillId="2" borderId="0" xfId="1" applyFont="1" applyFill="1" applyProtection="1"/>
    <xf numFmtId="168" fontId="2" fillId="2" borderId="0" xfId="1" applyNumberFormat="1" applyFont="1" applyFill="1" applyProtection="1"/>
    <xf numFmtId="3" fontId="2" fillId="2" borderId="0" xfId="0" applyNumberFormat="1" applyFont="1" applyFill="1" applyAlignment="1" applyProtection="1">
      <alignment wrapText="1"/>
    </xf>
    <xf numFmtId="0" fontId="4" fillId="2" borderId="4" xfId="0" applyFont="1" applyFill="1" applyBorder="1" applyAlignment="1" applyProtection="1">
      <alignment horizontal="right" wrapText="1"/>
    </xf>
    <xf numFmtId="3" fontId="7" fillId="0" borderId="0" xfId="0" applyNumberFormat="1" applyFont="1" applyProtection="1"/>
    <xf numFmtId="3" fontId="4" fillId="3" borderId="0" xfId="0" applyNumberFormat="1" applyFont="1" applyFill="1" applyBorder="1" applyProtection="1"/>
    <xf numFmtId="0" fontId="2" fillId="0" borderId="0" xfId="0" applyFont="1" applyFill="1" applyBorder="1" applyProtection="1"/>
    <xf numFmtId="10" fontId="2" fillId="2" borderId="0" xfId="1" applyNumberFormat="1" applyFont="1" applyFill="1" applyProtection="1"/>
    <xf numFmtId="0" fontId="3" fillId="2" borderId="7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</xdr:row>
          <xdr:rowOff>85725</xdr:rowOff>
        </xdr:from>
        <xdr:to>
          <xdr:col>2</xdr:col>
          <xdr:colOff>1476375</xdr:colOff>
          <xdr:row>3</xdr:row>
          <xdr:rowOff>114300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is-I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Setja inn sjálfgefin gildi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</xdr:row>
          <xdr:rowOff>85725</xdr:rowOff>
        </xdr:from>
        <xdr:to>
          <xdr:col>2</xdr:col>
          <xdr:colOff>1476375</xdr:colOff>
          <xdr:row>3</xdr:row>
          <xdr:rowOff>114300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is-I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Setja inn sjálfgefin gildi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</xdr:row>
          <xdr:rowOff>85725</xdr:rowOff>
        </xdr:from>
        <xdr:to>
          <xdr:col>2</xdr:col>
          <xdr:colOff>1476375</xdr:colOff>
          <xdr:row>3</xdr:row>
          <xdr:rowOff>114300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2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is-I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Setja inn sjálfgefin gildi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</xdr:row>
          <xdr:rowOff>85725</xdr:rowOff>
        </xdr:from>
        <xdr:to>
          <xdr:col>2</xdr:col>
          <xdr:colOff>1476375</xdr:colOff>
          <xdr:row>3</xdr:row>
          <xdr:rowOff>114300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3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is-IS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Setja inn sjálfgefin gildi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5E816-F5AF-4B5E-B5BC-6C5B2278A1D2}">
  <sheetPr codeName="Sheet3"/>
  <dimension ref="B2:O44"/>
  <sheetViews>
    <sheetView tabSelected="1" zoomScale="115" zoomScaleNormal="115" workbookViewId="0">
      <selection activeCell="J9" sqref="J9"/>
    </sheetView>
  </sheetViews>
  <sheetFormatPr defaultColWidth="9.140625" defaultRowHeight="15" x14ac:dyDescent="0.25"/>
  <cols>
    <col min="1" max="1" width="9.140625" style="4"/>
    <col min="2" max="2" width="3.85546875" style="4" bestFit="1" customWidth="1"/>
    <col min="3" max="3" width="33.7109375" style="4" customWidth="1"/>
    <col min="4" max="4" width="48.140625" style="4" bestFit="1" customWidth="1"/>
    <col min="5" max="5" width="12" style="4" customWidth="1"/>
    <col min="6" max="6" width="10.7109375" style="4" customWidth="1"/>
    <col min="7" max="7" width="12.5703125" style="4" customWidth="1"/>
    <col min="8" max="8" width="0.85546875" style="4" customWidth="1"/>
    <col min="9" max="9" width="9.140625" style="4"/>
    <col min="10" max="10" width="9.140625" style="4" customWidth="1"/>
    <col min="11" max="14" width="9.140625" style="4"/>
    <col min="15" max="15" width="14.5703125" style="4" customWidth="1"/>
    <col min="16" max="18" width="9.140625" style="4"/>
    <col min="19" max="19" width="11.28515625" style="4" bestFit="1" customWidth="1"/>
    <col min="20" max="16384" width="9.140625" style="4"/>
  </cols>
  <sheetData>
    <row r="2" spans="2:15" x14ac:dyDescent="0.25">
      <c r="B2" s="36"/>
      <c r="C2" s="28"/>
      <c r="D2" s="28"/>
      <c r="E2" s="28"/>
      <c r="F2" s="29" t="s">
        <v>0</v>
      </c>
      <c r="G2" s="30">
        <v>44573</v>
      </c>
      <c r="H2" s="31"/>
      <c r="I2" s="3"/>
    </row>
    <row r="3" spans="2:15" x14ac:dyDescent="0.25">
      <c r="B3" s="37"/>
      <c r="C3" s="38"/>
      <c r="D3" s="38"/>
      <c r="E3" s="38"/>
      <c r="F3" s="39"/>
      <c r="G3" s="40"/>
      <c r="H3" s="32"/>
      <c r="I3" s="3"/>
    </row>
    <row r="4" spans="2:15" ht="18.75" x14ac:dyDescent="0.3">
      <c r="B4" s="67" t="s">
        <v>1</v>
      </c>
      <c r="C4" s="68"/>
      <c r="D4" s="68"/>
      <c r="E4" s="68"/>
      <c r="F4" s="68"/>
      <c r="G4" s="68"/>
      <c r="H4" s="33"/>
      <c r="I4" s="3"/>
      <c r="O4" s="21"/>
    </row>
    <row r="5" spans="2:15" x14ac:dyDescent="0.25">
      <c r="B5" s="37"/>
      <c r="C5" s="64" t="s">
        <v>51</v>
      </c>
      <c r="D5" s="41"/>
      <c r="E5" s="41"/>
      <c r="F5" s="39"/>
      <c r="G5" s="35"/>
      <c r="H5" s="24"/>
      <c r="I5" s="3"/>
    </row>
    <row r="6" spans="2:15" x14ac:dyDescent="0.25">
      <c r="B6" s="37"/>
      <c r="C6" s="35" t="s">
        <v>2</v>
      </c>
      <c r="D6" s="35"/>
      <c r="E6" s="35"/>
      <c r="F6" s="39"/>
      <c r="G6" s="35"/>
      <c r="H6" s="24"/>
      <c r="I6" s="3"/>
    </row>
    <row r="7" spans="2:15" x14ac:dyDescent="0.25">
      <c r="B7" s="37"/>
      <c r="C7" s="16"/>
      <c r="D7" s="25" t="s">
        <v>50</v>
      </c>
      <c r="E7" s="10" t="s">
        <v>48</v>
      </c>
      <c r="F7" s="17"/>
      <c r="G7" s="16"/>
      <c r="H7" s="34"/>
      <c r="I7" s="3"/>
    </row>
    <row r="8" spans="2:15" x14ac:dyDescent="0.25">
      <c r="B8" s="37" t="s">
        <v>3</v>
      </c>
      <c r="C8" s="35" t="s">
        <v>4</v>
      </c>
      <c r="D8" s="35" t="s">
        <v>81</v>
      </c>
      <c r="E8" s="42">
        <v>8000000</v>
      </c>
      <c r="F8" s="39"/>
      <c r="G8" s="35"/>
      <c r="H8" s="24"/>
    </row>
    <row r="9" spans="2:15" x14ac:dyDescent="0.25">
      <c r="B9" s="37" t="s">
        <v>5</v>
      </c>
      <c r="C9" s="35" t="s">
        <v>6</v>
      </c>
      <c r="D9" s="35"/>
      <c r="E9" s="39"/>
      <c r="F9" s="39">
        <f>ROUND(E8/12/(1+E15)/10000,0)*10000</f>
        <v>600000</v>
      </c>
      <c r="G9" s="35"/>
      <c r="H9" s="24"/>
    </row>
    <row r="10" spans="2:15" x14ac:dyDescent="0.25">
      <c r="B10" s="37"/>
      <c r="C10" s="35"/>
      <c r="D10" s="35"/>
      <c r="E10" s="39"/>
      <c r="F10" s="39"/>
      <c r="G10" s="35"/>
      <c r="H10" s="24"/>
    </row>
    <row r="11" spans="2:15" x14ac:dyDescent="0.25">
      <c r="B11" s="37"/>
      <c r="C11" s="35"/>
      <c r="D11" s="35"/>
      <c r="E11" s="35"/>
      <c r="F11" s="39"/>
      <c r="G11" s="35"/>
      <c r="H11" s="24"/>
    </row>
    <row r="12" spans="2:15" x14ac:dyDescent="0.25">
      <c r="B12" s="37"/>
      <c r="C12" s="16"/>
      <c r="D12" s="17"/>
      <c r="E12" s="16"/>
      <c r="F12" s="26" t="s">
        <v>7</v>
      </c>
      <c r="G12" s="62" t="s">
        <v>71</v>
      </c>
      <c r="H12" s="27"/>
    </row>
    <row r="13" spans="2:15" x14ac:dyDescent="0.25">
      <c r="B13" s="37" t="s">
        <v>8</v>
      </c>
      <c r="C13" s="35" t="s">
        <v>9</v>
      </c>
      <c r="D13" s="43" t="s">
        <v>10</v>
      </c>
      <c r="E13" s="35"/>
      <c r="F13" s="44">
        <f>F20-SUM(F15:F18)</f>
        <v>489600</v>
      </c>
      <c r="G13" s="45">
        <f>IFERROR(F13/$F$13*100,"")</f>
        <v>100</v>
      </c>
      <c r="H13" s="5"/>
    </row>
    <row r="14" spans="2:15" x14ac:dyDescent="0.25">
      <c r="B14" s="37"/>
      <c r="C14" s="35"/>
      <c r="D14" s="39"/>
      <c r="E14" s="46"/>
      <c r="F14" s="39"/>
      <c r="G14" s="45"/>
      <c r="H14" s="5"/>
    </row>
    <row r="15" spans="2:15" x14ac:dyDescent="0.25">
      <c r="B15" s="37" t="s">
        <v>11</v>
      </c>
      <c r="C15" s="35" t="s">
        <v>12</v>
      </c>
      <c r="D15" s="43" t="s">
        <v>13</v>
      </c>
      <c r="E15" s="1">
        <v>0.1111</v>
      </c>
      <c r="F15" s="39">
        <f>F9*E15</f>
        <v>66660</v>
      </c>
      <c r="G15" s="45">
        <f>IFERROR(F15/$F$13*100,"")</f>
        <v>13.615196078431371</v>
      </c>
      <c r="H15" s="5"/>
    </row>
    <row r="16" spans="2:15" x14ac:dyDescent="0.25">
      <c r="B16" s="37" t="s">
        <v>14</v>
      </c>
      <c r="C16" s="35" t="s">
        <v>15</v>
      </c>
      <c r="D16" s="39" t="s">
        <v>54</v>
      </c>
      <c r="E16" s="23">
        <v>7.2999999999999995E-2</v>
      </c>
      <c r="F16" s="39">
        <f>F9*E16</f>
        <v>43800</v>
      </c>
      <c r="G16" s="45">
        <f t="shared" ref="G16:G18" si="0">IFERROR(F16/$F$13*100,"")</f>
        <v>8.9460784313725483</v>
      </c>
      <c r="H16" s="5"/>
    </row>
    <row r="17" spans="2:12" x14ac:dyDescent="0.25">
      <c r="B17" s="47" t="s">
        <v>16</v>
      </c>
      <c r="C17" s="65" t="s">
        <v>17</v>
      </c>
      <c r="D17" s="39" t="s">
        <v>68</v>
      </c>
      <c r="E17" s="1">
        <v>7.2999999999999995E-2</v>
      </c>
      <c r="F17" s="39">
        <f>F9*E17</f>
        <v>43800</v>
      </c>
      <c r="G17" s="45">
        <f t="shared" si="0"/>
        <v>8.9460784313725483</v>
      </c>
      <c r="H17" s="5"/>
    </row>
    <row r="18" spans="2:12" x14ac:dyDescent="0.25">
      <c r="B18" s="47" t="s">
        <v>18</v>
      </c>
      <c r="C18" s="16" t="s">
        <v>72</v>
      </c>
      <c r="D18" s="17" t="s">
        <v>55</v>
      </c>
      <c r="E18" s="2">
        <v>3.7999999999999999E-2</v>
      </c>
      <c r="F18" s="17">
        <f>F9*E18</f>
        <v>22800</v>
      </c>
      <c r="G18" s="22">
        <f t="shared" si="0"/>
        <v>4.6568627450980395</v>
      </c>
      <c r="H18" s="5"/>
    </row>
    <row r="19" spans="2:12" x14ac:dyDescent="0.25">
      <c r="B19" s="37"/>
      <c r="C19" s="35"/>
      <c r="D19" s="35"/>
      <c r="E19" s="48">
        <v>1.2999999999999999E-2</v>
      </c>
      <c r="F19" s="35"/>
      <c r="G19" s="45"/>
      <c r="H19" s="5"/>
    </row>
    <row r="20" spans="2:12" x14ac:dyDescent="0.25">
      <c r="B20" s="47" t="s">
        <v>19</v>
      </c>
      <c r="C20" s="35" t="s">
        <v>20</v>
      </c>
      <c r="D20" s="35"/>
      <c r="E20" s="39"/>
      <c r="F20" s="39">
        <f>F9*(1+E15)</f>
        <v>666660</v>
      </c>
      <c r="G20" s="45">
        <f>IFERROR(F20/$F$13*100,"")</f>
        <v>136.1642156862745</v>
      </c>
      <c r="H20" s="5"/>
    </row>
    <row r="21" spans="2:12" x14ac:dyDescent="0.25">
      <c r="B21" s="37"/>
      <c r="C21" s="35"/>
      <c r="D21" s="35"/>
      <c r="E21" s="35"/>
      <c r="F21" s="39"/>
      <c r="G21" s="45"/>
      <c r="H21" s="5"/>
    </row>
    <row r="22" spans="2:12" x14ac:dyDescent="0.25">
      <c r="B22" s="37" t="s">
        <v>21</v>
      </c>
      <c r="C22" s="35" t="s">
        <v>22</v>
      </c>
      <c r="D22" s="39" t="s">
        <v>56</v>
      </c>
      <c r="E22" s="48">
        <v>0.115</v>
      </c>
      <c r="F22" s="39">
        <f t="shared" ref="F22:F27" si="1">$F$20*E22</f>
        <v>76665.900000000009</v>
      </c>
      <c r="G22" s="45">
        <f>IFERROR(F22/$F$13*100,"")</f>
        <v>15.658884803921572</v>
      </c>
      <c r="H22" s="5"/>
    </row>
    <row r="23" spans="2:12" x14ac:dyDescent="0.25">
      <c r="B23" s="37" t="s">
        <v>23</v>
      </c>
      <c r="C23" s="35" t="s">
        <v>24</v>
      </c>
      <c r="D23" s="39" t="s">
        <v>57</v>
      </c>
      <c r="E23" s="49">
        <v>1.2999999999999999E-2</v>
      </c>
      <c r="F23" s="39">
        <f t="shared" si="1"/>
        <v>8666.58</v>
      </c>
      <c r="G23" s="45">
        <f t="shared" ref="G23:G34" si="2">IFERROR(F23/$F$13*100,"")</f>
        <v>1.7701348039215685</v>
      </c>
      <c r="H23" s="5"/>
    </row>
    <row r="24" spans="2:12" x14ac:dyDescent="0.25">
      <c r="B24" s="37" t="s">
        <v>25</v>
      </c>
      <c r="C24" s="35" t="s">
        <v>26</v>
      </c>
      <c r="D24" s="39" t="s">
        <v>58</v>
      </c>
      <c r="E24" s="48">
        <v>0.01</v>
      </c>
      <c r="F24" s="39">
        <f t="shared" si="1"/>
        <v>6666.6</v>
      </c>
      <c r="G24" s="45">
        <f t="shared" si="2"/>
        <v>1.3616421568627453</v>
      </c>
      <c r="H24" s="5"/>
    </row>
    <row r="25" spans="2:12" x14ac:dyDescent="0.25">
      <c r="B25" s="47" t="s">
        <v>27</v>
      </c>
      <c r="C25" s="35" t="s">
        <v>28</v>
      </c>
      <c r="D25" s="39" t="s">
        <v>59</v>
      </c>
      <c r="E25" s="48">
        <v>2.5000000000000001E-3</v>
      </c>
      <c r="F25" s="39">
        <f t="shared" si="1"/>
        <v>1666.65</v>
      </c>
      <c r="G25" s="45">
        <f t="shared" si="2"/>
        <v>0.34041053921568631</v>
      </c>
      <c r="H25" s="5"/>
    </row>
    <row r="26" spans="2:12" x14ac:dyDescent="0.25">
      <c r="B26" s="47" t="s">
        <v>29</v>
      </c>
      <c r="C26" s="50" t="s">
        <v>30</v>
      </c>
      <c r="D26" s="43" t="s">
        <v>31</v>
      </c>
      <c r="E26" s="48">
        <v>3.0000000000000001E-3</v>
      </c>
      <c r="F26" s="39">
        <f t="shared" si="1"/>
        <v>1999.98</v>
      </c>
      <c r="G26" s="45">
        <f t="shared" si="2"/>
        <v>0.40849264705882349</v>
      </c>
      <c r="H26" s="5"/>
    </row>
    <row r="27" spans="2:12" x14ac:dyDescent="0.25">
      <c r="B27" s="47" t="s">
        <v>32</v>
      </c>
      <c r="C27" s="50" t="s">
        <v>33</v>
      </c>
      <c r="D27" s="39" t="s">
        <v>60</v>
      </c>
      <c r="E27" s="48">
        <v>1E-3</v>
      </c>
      <c r="F27" s="39">
        <f t="shared" si="1"/>
        <v>666.66</v>
      </c>
      <c r="G27" s="45">
        <f t="shared" si="2"/>
        <v>0.13616421568627449</v>
      </c>
      <c r="H27" s="5"/>
    </row>
    <row r="28" spans="2:12" x14ac:dyDescent="0.25">
      <c r="B28" s="47" t="s">
        <v>34</v>
      </c>
      <c r="C28" s="35" t="s">
        <v>35</v>
      </c>
      <c r="D28" s="39" t="s">
        <v>61</v>
      </c>
      <c r="E28" s="42">
        <v>4200</v>
      </c>
      <c r="F28" s="39">
        <f>E28</f>
        <v>4200</v>
      </c>
      <c r="G28" s="45">
        <f t="shared" si="2"/>
        <v>0.85784313725490202</v>
      </c>
      <c r="H28" s="5"/>
    </row>
    <row r="29" spans="2:12" x14ac:dyDescent="0.25">
      <c r="B29" s="47" t="s">
        <v>36</v>
      </c>
      <c r="C29" s="35" t="s">
        <v>37</v>
      </c>
      <c r="D29" s="39" t="s">
        <v>79</v>
      </c>
      <c r="E29" s="48">
        <v>6.3500000000000001E-2</v>
      </c>
      <c r="F29" s="39">
        <f>(($F$20*(1+E22+E23))+F31)*E29</f>
        <v>47751.52248</v>
      </c>
      <c r="G29" s="45">
        <f t="shared" si="2"/>
        <v>9.7531704411764704</v>
      </c>
      <c r="H29" s="5"/>
      <c r="K29" s="21"/>
      <c r="L29" s="3"/>
    </row>
    <row r="30" spans="2:12" x14ac:dyDescent="0.25">
      <c r="B30" s="47" t="s">
        <v>38</v>
      </c>
      <c r="C30" s="35" t="s">
        <v>39</v>
      </c>
      <c r="D30" s="39" t="s">
        <v>62</v>
      </c>
      <c r="E30" s="48">
        <v>3.5000000000000001E-3</v>
      </c>
      <c r="F30" s="39">
        <f>$E$8*E30/12</f>
        <v>2333.3333333333335</v>
      </c>
      <c r="G30" s="45">
        <f t="shared" si="2"/>
        <v>0.4765795206971678</v>
      </c>
      <c r="H30" s="5"/>
    </row>
    <row r="31" spans="2:12" x14ac:dyDescent="0.25">
      <c r="B31" s="47" t="s">
        <v>40</v>
      </c>
      <c r="C31" s="42" t="s">
        <v>77</v>
      </c>
      <c r="D31" s="42" t="s">
        <v>80</v>
      </c>
      <c r="E31" s="39"/>
      <c r="F31" s="42">
        <v>0</v>
      </c>
      <c r="G31" s="45">
        <f t="shared" si="2"/>
        <v>0</v>
      </c>
      <c r="H31" s="5"/>
      <c r="I31" s="6"/>
    </row>
    <row r="32" spans="2:12" x14ac:dyDescent="0.25">
      <c r="B32" s="47" t="s">
        <v>49</v>
      </c>
      <c r="C32" s="42" t="s">
        <v>76</v>
      </c>
      <c r="D32" s="42"/>
      <c r="E32" s="39"/>
      <c r="F32" s="42">
        <v>0</v>
      </c>
      <c r="G32" s="45">
        <f t="shared" si="2"/>
        <v>0</v>
      </c>
      <c r="H32" s="5"/>
      <c r="I32" s="6"/>
    </row>
    <row r="33" spans="2:9" x14ac:dyDescent="0.25">
      <c r="B33" s="47" t="s">
        <v>73</v>
      </c>
      <c r="C33" s="42" t="s">
        <v>76</v>
      </c>
      <c r="D33" s="42"/>
      <c r="E33" s="39"/>
      <c r="F33" s="42">
        <v>0</v>
      </c>
      <c r="G33" s="45">
        <f t="shared" si="2"/>
        <v>0</v>
      </c>
      <c r="H33" s="5"/>
      <c r="I33" s="6"/>
    </row>
    <row r="34" spans="2:9" x14ac:dyDescent="0.25">
      <c r="B34" s="47" t="s">
        <v>74</v>
      </c>
      <c r="C34" s="42" t="s">
        <v>76</v>
      </c>
      <c r="D34" s="42"/>
      <c r="E34" s="39"/>
      <c r="F34" s="42">
        <v>0</v>
      </c>
      <c r="G34" s="45">
        <f t="shared" si="2"/>
        <v>0</v>
      </c>
      <c r="H34" s="5"/>
      <c r="I34" s="6"/>
    </row>
    <row r="35" spans="2:9" x14ac:dyDescent="0.25">
      <c r="B35" s="37"/>
      <c r="C35" s="35"/>
      <c r="D35" s="35"/>
      <c r="E35" s="35"/>
      <c r="F35" s="39"/>
      <c r="G35" s="45"/>
      <c r="H35" s="5"/>
      <c r="I35" s="3"/>
    </row>
    <row r="36" spans="2:9" x14ac:dyDescent="0.25">
      <c r="B36" s="51" t="s">
        <v>75</v>
      </c>
      <c r="C36" s="41" t="s">
        <v>41</v>
      </c>
      <c r="D36" s="41"/>
      <c r="E36" s="41"/>
      <c r="F36" s="52"/>
      <c r="G36" s="53"/>
      <c r="H36" s="8"/>
      <c r="I36" s="7"/>
    </row>
    <row r="37" spans="2:9" x14ac:dyDescent="0.25">
      <c r="B37" s="51"/>
      <c r="C37" s="41" t="s">
        <v>42</v>
      </c>
      <c r="D37" s="41"/>
      <c r="E37" s="41"/>
      <c r="F37" s="54">
        <f>F20+SUM(F22:F34)</f>
        <v>817277.22581333341</v>
      </c>
      <c r="G37" s="53">
        <f>IFERROR(G20+SUM(G22:G34),"")</f>
        <v>166.92753795206971</v>
      </c>
      <c r="H37" s="8"/>
      <c r="I37" s="7"/>
    </row>
    <row r="38" spans="2:9" x14ac:dyDescent="0.25">
      <c r="B38" s="37"/>
      <c r="C38" s="35"/>
      <c r="D38" s="35"/>
      <c r="E38" s="35"/>
      <c r="F38" s="39"/>
      <c r="G38" s="45"/>
      <c r="H38" s="5"/>
      <c r="I38" s="3"/>
    </row>
    <row r="39" spans="2:9" x14ac:dyDescent="0.25">
      <c r="B39" s="37"/>
      <c r="C39" s="35"/>
      <c r="D39" s="50"/>
      <c r="E39" s="50"/>
      <c r="F39" s="54"/>
      <c r="G39" s="55"/>
      <c r="H39" s="9"/>
      <c r="I39" s="3"/>
    </row>
    <row r="40" spans="2:9" x14ac:dyDescent="0.25">
      <c r="B40" s="37"/>
      <c r="C40" s="39"/>
      <c r="D40" s="10" t="s">
        <v>43</v>
      </c>
      <c r="E40" s="10"/>
      <c r="F40" s="11"/>
      <c r="G40" s="12" t="s">
        <v>44</v>
      </c>
      <c r="H40" s="13"/>
      <c r="I40" s="3"/>
    </row>
    <row r="41" spans="2:9" x14ac:dyDescent="0.25">
      <c r="B41" s="37"/>
      <c r="C41" s="39"/>
      <c r="D41" s="35" t="s">
        <v>45</v>
      </c>
      <c r="E41" s="35"/>
      <c r="F41" s="39"/>
      <c r="G41" s="14">
        <f>IFERROR(G20/100-1,"")</f>
        <v>0.36164215686274503</v>
      </c>
      <c r="H41" s="15"/>
      <c r="I41" s="3"/>
    </row>
    <row r="42" spans="2:9" x14ac:dyDescent="0.25">
      <c r="B42" s="37"/>
      <c r="C42" s="39"/>
      <c r="D42" s="16" t="s">
        <v>46</v>
      </c>
      <c r="E42" s="16"/>
      <c r="F42" s="17"/>
      <c r="G42" s="18">
        <f>IFERROR(G43-G41,"")</f>
        <v>0.30763322265795212</v>
      </c>
      <c r="H42" s="15"/>
      <c r="I42" s="3"/>
    </row>
    <row r="43" spans="2:9" x14ac:dyDescent="0.25">
      <c r="B43" s="37"/>
      <c r="C43" s="39"/>
      <c r="D43" s="41" t="s">
        <v>47</v>
      </c>
      <c r="E43" s="41"/>
      <c r="F43" s="39"/>
      <c r="G43" s="19">
        <f>IFERROR(G37/100-1,"")</f>
        <v>0.66927537952069716</v>
      </c>
      <c r="H43" s="15"/>
      <c r="I43" s="3"/>
    </row>
    <row r="44" spans="2:9" x14ac:dyDescent="0.25">
      <c r="B44" s="56"/>
      <c r="C44" s="17"/>
      <c r="D44" s="17"/>
      <c r="E44" s="17"/>
      <c r="F44" s="17"/>
      <c r="G44" s="17"/>
      <c r="H44" s="20"/>
    </row>
  </sheetData>
  <sheetProtection algorithmName="SHA-512" hashValue="FJryQTgLrXr4UrZGMGVMTdK02e2NiX2J0oCc2x0OFAJ8DtQpTnxfEt4jf7D0X6e8r054Lb3NSi+GtFlsUor87w==" saltValue="n7JDZqVCpBROlcdJBt4FWg==" spinCount="100000" sheet="1" objects="1" scenarios="1"/>
  <mergeCells count="1">
    <mergeCell ref="B4:G4"/>
  </mergeCells>
  <pageMargins left="0.7" right="0.7" top="0.75" bottom="0.75" header="0.3" footer="0.3"/>
  <pageSetup paperSize="9" orientation="portrait" r:id="rId1"/>
  <ignoredErrors>
    <ignoredError sqref="F14:G14 F30 F9 F19:G19 F13 F21:G21 F20 F23:F28 F2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Button 10">
              <controlPr defaultSize="0" print="0" autoFill="0" autoPict="0" macro="[0]!verkafolk">
                <anchor moveWithCells="1" sizeWithCells="1">
                  <from>
                    <xdr:col>1</xdr:col>
                    <xdr:colOff>57150</xdr:colOff>
                    <xdr:row>1</xdr:row>
                    <xdr:rowOff>85725</xdr:rowOff>
                  </from>
                  <to>
                    <xdr:col>2</xdr:col>
                    <xdr:colOff>1476375</xdr:colOff>
                    <xdr:row>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5A7FA-F8AA-45B0-8204-1D639EDD176F}">
  <sheetPr codeName="Sheet4"/>
  <dimension ref="B2:O44"/>
  <sheetViews>
    <sheetView zoomScale="115" zoomScaleNormal="115" workbookViewId="0">
      <selection activeCell="C34" sqref="C34"/>
    </sheetView>
  </sheetViews>
  <sheetFormatPr defaultColWidth="9.140625" defaultRowHeight="15" x14ac:dyDescent="0.25"/>
  <cols>
    <col min="1" max="1" width="9.140625" style="4"/>
    <col min="2" max="2" width="3.85546875" style="4" bestFit="1" customWidth="1"/>
    <col min="3" max="3" width="33.7109375" style="4" customWidth="1"/>
    <col min="4" max="4" width="48.140625" style="4" bestFit="1" customWidth="1"/>
    <col min="5" max="5" width="10.85546875" style="4" bestFit="1" customWidth="1"/>
    <col min="6" max="6" width="10.7109375" style="4" customWidth="1"/>
    <col min="7" max="7" width="12.7109375" style="4" bestFit="1" customWidth="1"/>
    <col min="8" max="8" width="0.85546875" style="4" customWidth="1"/>
    <col min="9" max="14" width="9.140625" style="4"/>
    <col min="15" max="15" width="14.5703125" style="4" customWidth="1"/>
    <col min="16" max="18" width="9.140625" style="4"/>
    <col min="19" max="19" width="11.28515625" style="4" bestFit="1" customWidth="1"/>
    <col min="20" max="16384" width="9.140625" style="4"/>
  </cols>
  <sheetData>
    <row r="2" spans="2:15" x14ac:dyDescent="0.25">
      <c r="B2" s="36"/>
      <c r="C2" s="28"/>
      <c r="D2" s="28"/>
      <c r="E2" s="28"/>
      <c r="F2" s="29" t="s">
        <v>0</v>
      </c>
      <c r="G2" s="30">
        <v>44573</v>
      </c>
      <c r="H2" s="31"/>
      <c r="I2" s="3"/>
    </row>
    <row r="3" spans="2:15" x14ac:dyDescent="0.25">
      <c r="B3" s="37"/>
      <c r="C3" s="38"/>
      <c r="D3" s="38"/>
      <c r="E3" s="38"/>
      <c r="F3" s="39"/>
      <c r="G3" s="40"/>
      <c r="H3" s="32"/>
      <c r="I3" s="3"/>
    </row>
    <row r="4" spans="2:15" ht="18.75" x14ac:dyDescent="0.3">
      <c r="B4" s="67" t="s">
        <v>52</v>
      </c>
      <c r="C4" s="68"/>
      <c r="D4" s="68"/>
      <c r="E4" s="68"/>
      <c r="F4" s="68"/>
      <c r="G4" s="68"/>
      <c r="H4" s="33"/>
      <c r="I4" s="3"/>
      <c r="O4" s="21"/>
    </row>
    <row r="5" spans="2:15" x14ac:dyDescent="0.25">
      <c r="B5" s="37"/>
      <c r="C5" s="64" t="s">
        <v>51</v>
      </c>
      <c r="D5" s="41"/>
      <c r="E5" s="41"/>
      <c r="F5" s="39"/>
      <c r="G5" s="35"/>
      <c r="H5" s="24"/>
      <c r="I5" s="3"/>
    </row>
    <row r="6" spans="2:15" x14ac:dyDescent="0.25">
      <c r="B6" s="37"/>
      <c r="C6" s="35" t="s">
        <v>2</v>
      </c>
      <c r="D6" s="35"/>
      <c r="E6" s="35"/>
      <c r="F6" s="39"/>
      <c r="G6" s="35"/>
      <c r="H6" s="24"/>
      <c r="I6" s="3"/>
    </row>
    <row r="7" spans="2:15" x14ac:dyDescent="0.25">
      <c r="B7" s="37"/>
      <c r="C7" s="16"/>
      <c r="D7" s="25" t="s">
        <v>50</v>
      </c>
      <c r="E7" s="10" t="s">
        <v>48</v>
      </c>
      <c r="F7" s="17"/>
      <c r="G7" s="16"/>
      <c r="H7" s="34"/>
      <c r="I7" s="3"/>
    </row>
    <row r="8" spans="2:15" x14ac:dyDescent="0.25">
      <c r="B8" s="37" t="s">
        <v>3</v>
      </c>
      <c r="C8" s="35" t="s">
        <v>4</v>
      </c>
      <c r="D8" s="35" t="s">
        <v>81</v>
      </c>
      <c r="E8" s="42">
        <v>7800000</v>
      </c>
      <c r="F8" s="39"/>
      <c r="G8" s="35"/>
      <c r="H8" s="24"/>
    </row>
    <row r="9" spans="2:15" x14ac:dyDescent="0.25">
      <c r="B9" s="37" t="s">
        <v>5</v>
      </c>
      <c r="C9" s="35" t="s">
        <v>6</v>
      </c>
      <c r="D9" s="35"/>
      <c r="E9" s="39"/>
      <c r="F9" s="39">
        <f>ROUND(E8/12/(1+E15)/10000,0)*10000</f>
        <v>580000</v>
      </c>
      <c r="G9" s="35"/>
      <c r="H9" s="24"/>
    </row>
    <row r="10" spans="2:15" x14ac:dyDescent="0.25">
      <c r="B10" s="37"/>
      <c r="C10" s="35"/>
      <c r="D10" s="35"/>
      <c r="E10" s="39"/>
      <c r="F10" s="39"/>
      <c r="G10" s="35"/>
      <c r="H10" s="24"/>
    </row>
    <row r="11" spans="2:15" x14ac:dyDescent="0.25">
      <c r="B11" s="37"/>
      <c r="C11" s="35"/>
      <c r="D11" s="35"/>
      <c r="E11" s="35"/>
      <c r="F11" s="39"/>
      <c r="G11" s="35"/>
      <c r="H11" s="24"/>
    </row>
    <row r="12" spans="2:15" x14ac:dyDescent="0.25">
      <c r="B12" s="37"/>
      <c r="C12" s="16"/>
      <c r="D12" s="17"/>
      <c r="E12" s="16"/>
      <c r="F12" s="26" t="s">
        <v>7</v>
      </c>
      <c r="G12" s="62" t="s">
        <v>71</v>
      </c>
      <c r="H12" s="27"/>
    </row>
    <row r="13" spans="2:15" x14ac:dyDescent="0.25">
      <c r="B13" s="37" t="s">
        <v>8</v>
      </c>
      <c r="C13" s="35" t="s">
        <v>9</v>
      </c>
      <c r="D13" s="43" t="s">
        <v>10</v>
      </c>
      <c r="E13" s="35"/>
      <c r="F13" s="44">
        <f>F20-SUM(F15:F18)</f>
        <v>489520</v>
      </c>
      <c r="G13" s="45">
        <f>IFERROR(F13/$F$13*100,"")</f>
        <v>100</v>
      </c>
      <c r="H13" s="5"/>
    </row>
    <row r="14" spans="2:15" x14ac:dyDescent="0.25">
      <c r="B14" s="37"/>
      <c r="C14" s="35"/>
      <c r="D14" s="39"/>
      <c r="E14" s="46"/>
      <c r="F14" s="39"/>
      <c r="G14" s="45"/>
      <c r="H14" s="5"/>
    </row>
    <row r="15" spans="2:15" x14ac:dyDescent="0.25">
      <c r="B15" s="37" t="s">
        <v>11</v>
      </c>
      <c r="C15" s="35" t="s">
        <v>12</v>
      </c>
      <c r="D15" s="63" t="s">
        <v>53</v>
      </c>
      <c r="E15" s="1">
        <v>0.1207</v>
      </c>
      <c r="F15" s="39">
        <f>F9*E15</f>
        <v>70006</v>
      </c>
      <c r="G15" s="45">
        <f>IFERROR(F15/$F$13*100,"")</f>
        <v>14.300947867298577</v>
      </c>
      <c r="H15" s="5"/>
    </row>
    <row r="16" spans="2:15" x14ac:dyDescent="0.25">
      <c r="B16" s="37" t="s">
        <v>14</v>
      </c>
      <c r="C16" s="35" t="s">
        <v>15</v>
      </c>
      <c r="D16" s="39" t="s">
        <v>54</v>
      </c>
      <c r="E16" s="23">
        <v>4.2999999999999997E-2</v>
      </c>
      <c r="F16" s="39">
        <f>F9*E16</f>
        <v>24939.999999999996</v>
      </c>
      <c r="G16" s="45">
        <f t="shared" ref="G16:G18" si="0">IFERROR(F16/$F$13*100,"")</f>
        <v>5.0947867298578187</v>
      </c>
      <c r="H16" s="5"/>
    </row>
    <row r="17" spans="2:12" x14ac:dyDescent="0.25">
      <c r="B17" s="47" t="s">
        <v>16</v>
      </c>
      <c r="C17" s="35" t="s">
        <v>17</v>
      </c>
      <c r="D17" s="63" t="s">
        <v>67</v>
      </c>
      <c r="E17" s="1">
        <v>7.4999999999999997E-2</v>
      </c>
      <c r="F17" s="39">
        <f>F9*E17</f>
        <v>43500</v>
      </c>
      <c r="G17" s="45">
        <f t="shared" si="0"/>
        <v>8.8862559241706158</v>
      </c>
      <c r="H17" s="5"/>
    </row>
    <row r="18" spans="2:12" x14ac:dyDescent="0.25">
      <c r="B18" s="47" t="s">
        <v>18</v>
      </c>
      <c r="C18" s="16" t="s">
        <v>72</v>
      </c>
      <c r="D18" s="17" t="s">
        <v>55</v>
      </c>
      <c r="E18" s="2">
        <v>3.7999999999999999E-2</v>
      </c>
      <c r="F18" s="17">
        <f>F9*E18</f>
        <v>22040</v>
      </c>
      <c r="G18" s="22">
        <f t="shared" si="0"/>
        <v>4.5023696682464456</v>
      </c>
      <c r="H18" s="5"/>
    </row>
    <row r="19" spans="2:12" x14ac:dyDescent="0.25">
      <c r="B19" s="37"/>
      <c r="C19" s="35"/>
      <c r="D19" s="35"/>
      <c r="E19" s="35"/>
      <c r="F19" s="35"/>
      <c r="G19" s="45"/>
      <c r="H19" s="5"/>
    </row>
    <row r="20" spans="2:12" x14ac:dyDescent="0.25">
      <c r="B20" s="47" t="s">
        <v>19</v>
      </c>
      <c r="C20" s="35" t="s">
        <v>20</v>
      </c>
      <c r="D20" s="35"/>
      <c r="E20" s="39"/>
      <c r="F20" s="39">
        <f>F9*(1+E15)</f>
        <v>650006</v>
      </c>
      <c r="G20" s="45">
        <f>IFERROR(F20/$F$13*100,"")</f>
        <v>132.78436018957348</v>
      </c>
      <c r="H20" s="5"/>
    </row>
    <row r="21" spans="2:12" x14ac:dyDescent="0.25">
      <c r="B21" s="37"/>
      <c r="C21" s="35"/>
      <c r="D21" s="35"/>
      <c r="E21" s="35"/>
      <c r="F21" s="39"/>
      <c r="G21" s="45"/>
      <c r="H21" s="5"/>
    </row>
    <row r="22" spans="2:12" x14ac:dyDescent="0.25">
      <c r="B22" s="37" t="s">
        <v>21</v>
      </c>
      <c r="C22" s="35" t="s">
        <v>22</v>
      </c>
      <c r="D22" s="39" t="s">
        <v>56</v>
      </c>
      <c r="E22" s="48">
        <v>0.115</v>
      </c>
      <c r="F22" s="39">
        <f t="shared" ref="F22:F27" si="1">$F$20*E22</f>
        <v>74750.69</v>
      </c>
      <c r="G22" s="45">
        <f>IFERROR(F22/$F$13*100,"")</f>
        <v>15.27020142180095</v>
      </c>
      <c r="H22" s="5"/>
    </row>
    <row r="23" spans="2:12" x14ac:dyDescent="0.25">
      <c r="B23" s="37" t="s">
        <v>23</v>
      </c>
      <c r="C23" s="35" t="s">
        <v>24</v>
      </c>
      <c r="D23" s="39" t="s">
        <v>57</v>
      </c>
      <c r="E23" s="49">
        <v>1.2999999999999999E-2</v>
      </c>
      <c r="F23" s="39">
        <f t="shared" si="1"/>
        <v>8450.0779999999995</v>
      </c>
      <c r="G23" s="45">
        <f t="shared" ref="G23:G34" si="2">IFERROR(F23/$F$13*100,"")</f>
        <v>1.7261966824644548</v>
      </c>
      <c r="H23" s="5"/>
    </row>
    <row r="24" spans="2:12" x14ac:dyDescent="0.25">
      <c r="B24" s="37" t="s">
        <v>25</v>
      </c>
      <c r="C24" s="35" t="s">
        <v>26</v>
      </c>
      <c r="D24" s="39" t="s">
        <v>58</v>
      </c>
      <c r="E24" s="48">
        <v>0.01</v>
      </c>
      <c r="F24" s="39">
        <f t="shared" si="1"/>
        <v>6500.06</v>
      </c>
      <c r="G24" s="45">
        <f t="shared" si="2"/>
        <v>1.3278436018957347</v>
      </c>
      <c r="H24" s="5"/>
    </row>
    <row r="25" spans="2:12" x14ac:dyDescent="0.25">
      <c r="B25" s="47" t="s">
        <v>27</v>
      </c>
      <c r="C25" s="35" t="s">
        <v>28</v>
      </c>
      <c r="D25" s="57" t="s">
        <v>63</v>
      </c>
      <c r="E25" s="48">
        <v>5.0000000000000001E-3</v>
      </c>
      <c r="F25" s="39">
        <f t="shared" si="1"/>
        <v>3250.03</v>
      </c>
      <c r="G25" s="45">
        <f t="shared" si="2"/>
        <v>0.66392180094786735</v>
      </c>
      <c r="H25" s="5"/>
    </row>
    <row r="26" spans="2:12" x14ac:dyDescent="0.25">
      <c r="B26" s="47" t="s">
        <v>29</v>
      </c>
      <c r="C26" s="50" t="s">
        <v>30</v>
      </c>
      <c r="D26" s="43" t="s">
        <v>31</v>
      </c>
      <c r="E26" s="48">
        <v>3.0000000000000001E-3</v>
      </c>
      <c r="F26" s="39">
        <f t="shared" si="1"/>
        <v>1950.018</v>
      </c>
      <c r="G26" s="45">
        <f t="shared" si="2"/>
        <v>0.39835308056872032</v>
      </c>
      <c r="H26" s="5"/>
    </row>
    <row r="27" spans="2:12" x14ac:dyDescent="0.25">
      <c r="B27" s="47" t="s">
        <v>32</v>
      </c>
      <c r="C27" s="50" t="s">
        <v>33</v>
      </c>
      <c r="D27" s="39" t="s">
        <v>60</v>
      </c>
      <c r="E27" s="48">
        <v>1E-3</v>
      </c>
      <c r="F27" s="39">
        <f t="shared" si="1"/>
        <v>650.00599999999997</v>
      </c>
      <c r="G27" s="45">
        <f t="shared" si="2"/>
        <v>0.13278436018957346</v>
      </c>
      <c r="H27" s="5"/>
    </row>
    <row r="28" spans="2:12" x14ac:dyDescent="0.25">
      <c r="B28" s="47" t="s">
        <v>34</v>
      </c>
      <c r="C28" s="35" t="s">
        <v>35</v>
      </c>
      <c r="D28" s="39" t="s">
        <v>61</v>
      </c>
      <c r="E28" s="42">
        <v>1300</v>
      </c>
      <c r="F28" s="39">
        <f>E28</f>
        <v>1300</v>
      </c>
      <c r="G28" s="45">
        <f t="shared" si="2"/>
        <v>0.26556626899820235</v>
      </c>
      <c r="H28" s="5"/>
    </row>
    <row r="29" spans="2:12" x14ac:dyDescent="0.25">
      <c r="B29" s="47" t="s">
        <v>36</v>
      </c>
      <c r="C29" s="35" t="s">
        <v>37</v>
      </c>
      <c r="D29" s="39" t="s">
        <v>79</v>
      </c>
      <c r="E29" s="48">
        <v>6.3500000000000001E-2</v>
      </c>
      <c r="F29" s="39">
        <f>(($F$20*(1+E22+E23))+F31)*E29</f>
        <v>46558.629767999999</v>
      </c>
      <c r="G29" s="45">
        <f t="shared" si="2"/>
        <v>9.5110781516587686</v>
      </c>
      <c r="H29" s="5"/>
      <c r="K29" s="21"/>
      <c r="L29" s="3"/>
    </row>
    <row r="30" spans="2:12" x14ac:dyDescent="0.25">
      <c r="B30" s="47" t="s">
        <v>38</v>
      </c>
      <c r="C30" s="35" t="s">
        <v>39</v>
      </c>
      <c r="D30" s="39" t="s">
        <v>62</v>
      </c>
      <c r="E30" s="48">
        <v>3.5000000000000001E-3</v>
      </c>
      <c r="F30" s="39">
        <f>$E$8*E30/12</f>
        <v>2275</v>
      </c>
      <c r="G30" s="45">
        <f t="shared" si="2"/>
        <v>0.46474097074685405</v>
      </c>
      <c r="H30" s="5"/>
    </row>
    <row r="31" spans="2:12" x14ac:dyDescent="0.25">
      <c r="B31" s="47" t="s">
        <v>40</v>
      </c>
      <c r="C31" s="42" t="s">
        <v>77</v>
      </c>
      <c r="D31" s="42" t="s">
        <v>80</v>
      </c>
      <c r="E31" s="48"/>
      <c r="F31" s="42">
        <v>0</v>
      </c>
      <c r="G31" s="45">
        <f t="shared" si="2"/>
        <v>0</v>
      </c>
      <c r="H31" s="5"/>
      <c r="I31" s="6"/>
    </row>
    <row r="32" spans="2:12" x14ac:dyDescent="0.25">
      <c r="B32" s="47" t="s">
        <v>49</v>
      </c>
      <c r="C32" s="42" t="s">
        <v>76</v>
      </c>
      <c r="D32" s="42"/>
      <c r="E32" s="48"/>
      <c r="F32" s="42">
        <v>0</v>
      </c>
      <c r="G32" s="45">
        <f t="shared" si="2"/>
        <v>0</v>
      </c>
      <c r="H32" s="5"/>
      <c r="I32" s="6"/>
    </row>
    <row r="33" spans="2:9" x14ac:dyDescent="0.25">
      <c r="B33" s="47" t="s">
        <v>73</v>
      </c>
      <c r="C33" s="42" t="s">
        <v>76</v>
      </c>
      <c r="D33" s="42"/>
      <c r="E33" s="48"/>
      <c r="F33" s="42">
        <v>0</v>
      </c>
      <c r="G33" s="45">
        <f t="shared" si="2"/>
        <v>0</v>
      </c>
      <c r="H33" s="5"/>
      <c r="I33" s="6"/>
    </row>
    <row r="34" spans="2:9" x14ac:dyDescent="0.25">
      <c r="B34" s="47" t="s">
        <v>74</v>
      </c>
      <c r="C34" s="42" t="s">
        <v>76</v>
      </c>
      <c r="D34" s="42"/>
      <c r="E34" s="48"/>
      <c r="F34" s="42">
        <v>0</v>
      </c>
      <c r="G34" s="45">
        <f t="shared" si="2"/>
        <v>0</v>
      </c>
      <c r="H34" s="5"/>
      <c r="I34" s="6"/>
    </row>
    <row r="35" spans="2:9" x14ac:dyDescent="0.25">
      <c r="B35" s="37"/>
      <c r="C35" s="35"/>
      <c r="D35" s="35"/>
      <c r="E35" s="35"/>
      <c r="F35" s="39"/>
      <c r="G35" s="45"/>
      <c r="H35" s="5"/>
      <c r="I35" s="3"/>
    </row>
    <row r="36" spans="2:9" x14ac:dyDescent="0.25">
      <c r="B36" s="51" t="s">
        <v>75</v>
      </c>
      <c r="C36" s="41" t="s">
        <v>41</v>
      </c>
      <c r="D36" s="41"/>
      <c r="E36" s="41"/>
      <c r="F36" s="52"/>
      <c r="G36" s="53"/>
      <c r="H36" s="8"/>
      <c r="I36" s="7"/>
    </row>
    <row r="37" spans="2:9" x14ac:dyDescent="0.25">
      <c r="B37" s="51"/>
      <c r="C37" s="41" t="s">
        <v>42</v>
      </c>
      <c r="D37" s="41"/>
      <c r="E37" s="41"/>
      <c r="F37" s="54">
        <f>F20+SUM(F22:F34)</f>
        <v>795690.51176799997</v>
      </c>
      <c r="G37" s="53">
        <f>IFERROR(G20+SUM(G22:G34),"")</f>
        <v>162.54504652884461</v>
      </c>
      <c r="H37" s="8"/>
      <c r="I37" s="7"/>
    </row>
    <row r="38" spans="2:9" x14ac:dyDescent="0.25">
      <c r="B38" s="37"/>
      <c r="C38" s="35"/>
      <c r="D38" s="35"/>
      <c r="E38" s="35"/>
      <c r="F38" s="39"/>
      <c r="G38" s="45"/>
      <c r="H38" s="5"/>
      <c r="I38" s="3"/>
    </row>
    <row r="39" spans="2:9" x14ac:dyDescent="0.25">
      <c r="B39" s="37"/>
      <c r="C39" s="35"/>
      <c r="D39" s="50"/>
      <c r="E39" s="50"/>
      <c r="F39" s="54"/>
      <c r="G39" s="55"/>
      <c r="H39" s="9"/>
      <c r="I39" s="3"/>
    </row>
    <row r="40" spans="2:9" x14ac:dyDescent="0.25">
      <c r="B40" s="37"/>
      <c r="C40" s="39"/>
      <c r="D40" s="10" t="s">
        <v>43</v>
      </c>
      <c r="E40" s="10"/>
      <c r="F40" s="11"/>
      <c r="G40" s="12" t="s">
        <v>44</v>
      </c>
      <c r="H40" s="13"/>
      <c r="I40" s="3"/>
    </row>
    <row r="41" spans="2:9" x14ac:dyDescent="0.25">
      <c r="B41" s="37"/>
      <c r="C41" s="39"/>
      <c r="D41" s="35" t="s">
        <v>45</v>
      </c>
      <c r="E41" s="35"/>
      <c r="F41" s="39"/>
      <c r="G41" s="14">
        <f>IFERROR(G20/100-1,"")</f>
        <v>0.32784360189573469</v>
      </c>
      <c r="H41" s="15"/>
      <c r="I41" s="3"/>
    </row>
    <row r="42" spans="2:9" x14ac:dyDescent="0.25">
      <c r="B42" s="37"/>
      <c r="C42" s="39"/>
      <c r="D42" s="16" t="s">
        <v>46</v>
      </c>
      <c r="E42" s="16"/>
      <c r="F42" s="17"/>
      <c r="G42" s="18">
        <f>IFERROR(G43-G41,"")</f>
        <v>0.29760686339271136</v>
      </c>
      <c r="H42" s="15"/>
      <c r="I42" s="3"/>
    </row>
    <row r="43" spans="2:9" x14ac:dyDescent="0.25">
      <c r="B43" s="37"/>
      <c r="C43" s="39"/>
      <c r="D43" s="41" t="s">
        <v>47</v>
      </c>
      <c r="E43" s="41"/>
      <c r="F43" s="39"/>
      <c r="G43" s="19">
        <f>IFERROR(G37/100-1,"")</f>
        <v>0.62545046528844606</v>
      </c>
      <c r="H43" s="15"/>
      <c r="I43" s="3"/>
    </row>
    <row r="44" spans="2:9" x14ac:dyDescent="0.25">
      <c r="B44" s="56"/>
      <c r="C44" s="17"/>
      <c r="D44" s="17"/>
      <c r="E44" s="17"/>
      <c r="F44" s="17"/>
      <c r="G44" s="17"/>
      <c r="H44" s="20"/>
    </row>
  </sheetData>
  <sheetProtection algorithmName="SHA-512" hashValue="mx4tLpucBd+p4Vzft14rxXFcehwngiobTR5ETHKYBwQ+eytalJ3e4vYosm1qIxHSkZsF577GGTuxra78SMqfQA==" saltValue="PGqK/AtjiIfF1F8j+iI/vA==" spinCount="100000" sheet="1" objects="1" scenarios="1"/>
  <mergeCells count="1">
    <mergeCell ref="B4:G4"/>
  </mergeCell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0]!afgrfolk">
                <anchor moveWithCells="1" sizeWithCells="1">
                  <from>
                    <xdr:col>1</xdr:col>
                    <xdr:colOff>57150</xdr:colOff>
                    <xdr:row>1</xdr:row>
                    <xdr:rowOff>85725</xdr:rowOff>
                  </from>
                  <to>
                    <xdr:col>2</xdr:col>
                    <xdr:colOff>1476375</xdr:colOff>
                    <xdr:row>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BF1FD-E599-4380-8819-8C2F019F9509}">
  <sheetPr codeName="Sheet8"/>
  <dimension ref="B2:O44"/>
  <sheetViews>
    <sheetView topLeftCell="A17" zoomScale="115" zoomScaleNormal="115" workbookViewId="0">
      <selection activeCell="C34" sqref="C34"/>
    </sheetView>
  </sheetViews>
  <sheetFormatPr defaultColWidth="9.140625" defaultRowHeight="15" x14ac:dyDescent="0.25"/>
  <cols>
    <col min="1" max="1" width="9.140625" style="4"/>
    <col min="2" max="2" width="3.85546875" style="4" bestFit="1" customWidth="1"/>
    <col min="3" max="3" width="33.7109375" style="4" customWidth="1"/>
    <col min="4" max="4" width="48.140625" style="4" bestFit="1" customWidth="1"/>
    <col min="5" max="5" width="10.85546875" style="4" bestFit="1" customWidth="1"/>
    <col min="6" max="6" width="10.7109375" style="4" customWidth="1"/>
    <col min="7" max="7" width="12.7109375" style="4" bestFit="1" customWidth="1"/>
    <col min="8" max="8" width="0.85546875" style="4" customWidth="1"/>
    <col min="9" max="14" width="9.140625" style="4"/>
    <col min="15" max="15" width="14.5703125" style="4" customWidth="1"/>
    <col min="16" max="18" width="9.140625" style="4"/>
    <col min="19" max="19" width="11.28515625" style="4" bestFit="1" customWidth="1"/>
    <col min="20" max="16384" width="9.140625" style="4"/>
  </cols>
  <sheetData>
    <row r="2" spans="2:15" x14ac:dyDescent="0.25">
      <c r="B2" s="36"/>
      <c r="C2" s="28"/>
      <c r="D2" s="28"/>
      <c r="E2" s="28"/>
      <c r="F2" s="29" t="s">
        <v>0</v>
      </c>
      <c r="G2" s="30">
        <v>44573</v>
      </c>
      <c r="H2" s="31"/>
      <c r="I2" s="3"/>
    </row>
    <row r="3" spans="2:15" x14ac:dyDescent="0.25">
      <c r="B3" s="37"/>
      <c r="C3" s="38"/>
      <c r="D3" s="38"/>
      <c r="E3" s="38"/>
      <c r="F3" s="39"/>
      <c r="G3" s="40"/>
      <c r="H3" s="32"/>
      <c r="I3" s="3"/>
    </row>
    <row r="4" spans="2:15" ht="18.75" x14ac:dyDescent="0.3">
      <c r="B4" s="67" t="s">
        <v>64</v>
      </c>
      <c r="C4" s="68"/>
      <c r="D4" s="68"/>
      <c r="E4" s="68"/>
      <c r="F4" s="68"/>
      <c r="G4" s="68"/>
      <c r="H4" s="33"/>
      <c r="I4" s="3"/>
      <c r="O4" s="21"/>
    </row>
    <row r="5" spans="2:15" x14ac:dyDescent="0.25">
      <c r="B5" s="37"/>
      <c r="C5" s="64" t="s">
        <v>51</v>
      </c>
      <c r="D5" s="41"/>
      <c r="E5" s="41"/>
      <c r="F5" s="39"/>
      <c r="G5" s="35"/>
      <c r="H5" s="24"/>
      <c r="I5" s="3"/>
    </row>
    <row r="6" spans="2:15" x14ac:dyDescent="0.25">
      <c r="B6" s="37"/>
      <c r="C6" s="35" t="s">
        <v>2</v>
      </c>
      <c r="D6" s="35"/>
      <c r="E6" s="35"/>
      <c r="F6" s="39"/>
      <c r="G6" s="35"/>
      <c r="H6" s="24"/>
      <c r="I6" s="3"/>
    </row>
    <row r="7" spans="2:15" x14ac:dyDescent="0.25">
      <c r="B7" s="37"/>
      <c r="C7" s="16"/>
      <c r="D7" s="25" t="s">
        <v>50</v>
      </c>
      <c r="E7" s="10" t="s">
        <v>48</v>
      </c>
      <c r="F7" s="17"/>
      <c r="G7" s="16"/>
      <c r="H7" s="34"/>
      <c r="I7" s="3"/>
    </row>
    <row r="8" spans="2:15" x14ac:dyDescent="0.25">
      <c r="B8" s="37" t="s">
        <v>3</v>
      </c>
      <c r="C8" s="35" t="s">
        <v>4</v>
      </c>
      <c r="D8" s="35" t="s">
        <v>81</v>
      </c>
      <c r="E8" s="42">
        <v>7900000</v>
      </c>
      <c r="F8" s="39"/>
      <c r="G8" s="35"/>
      <c r="H8" s="24"/>
    </row>
    <row r="9" spans="2:15" x14ac:dyDescent="0.25">
      <c r="B9" s="37" t="s">
        <v>5</v>
      </c>
      <c r="C9" s="35" t="s">
        <v>6</v>
      </c>
      <c r="D9" s="35"/>
      <c r="E9" s="39"/>
      <c r="F9" s="39">
        <f>ROUND(E8/12/(1+E15)/10000,0)*10000</f>
        <v>590000</v>
      </c>
      <c r="G9" s="35"/>
      <c r="H9" s="24"/>
    </row>
    <row r="10" spans="2:15" x14ac:dyDescent="0.25">
      <c r="B10" s="37"/>
      <c r="C10" s="35"/>
      <c r="D10" s="35"/>
      <c r="E10" s="39"/>
      <c r="F10" s="39"/>
      <c r="G10" s="35"/>
      <c r="H10" s="24"/>
    </row>
    <row r="11" spans="2:15" x14ac:dyDescent="0.25">
      <c r="B11" s="37"/>
      <c r="C11" s="35"/>
      <c r="D11" s="35"/>
      <c r="E11" s="35"/>
      <c r="F11" s="39"/>
      <c r="G11" s="35"/>
      <c r="H11" s="24"/>
    </row>
    <row r="12" spans="2:15" x14ac:dyDescent="0.25">
      <c r="B12" s="37"/>
      <c r="C12" s="16"/>
      <c r="D12" s="17"/>
      <c r="E12" s="16"/>
      <c r="F12" s="26" t="s">
        <v>7</v>
      </c>
      <c r="G12" s="62" t="s">
        <v>71</v>
      </c>
      <c r="H12" s="27"/>
    </row>
    <row r="13" spans="2:15" x14ac:dyDescent="0.25">
      <c r="B13" s="37" t="s">
        <v>8</v>
      </c>
      <c r="C13" s="35" t="s">
        <v>9</v>
      </c>
      <c r="D13" s="43" t="s">
        <v>10</v>
      </c>
      <c r="E13" s="35"/>
      <c r="F13" s="44">
        <f>F20-SUM(F15:F18)</f>
        <v>522150</v>
      </c>
      <c r="G13" s="45">
        <f>IFERROR(F13/$F$13*100,"")</f>
        <v>100</v>
      </c>
      <c r="H13" s="5"/>
    </row>
    <row r="14" spans="2:15" x14ac:dyDescent="0.25">
      <c r="B14" s="37"/>
      <c r="C14" s="35"/>
      <c r="D14" s="39"/>
      <c r="E14" s="46"/>
      <c r="F14" s="39"/>
      <c r="G14" s="45"/>
      <c r="H14" s="5"/>
    </row>
    <row r="15" spans="2:15" x14ac:dyDescent="0.25">
      <c r="B15" s="37" t="s">
        <v>11</v>
      </c>
      <c r="C15" s="35" t="s">
        <v>12</v>
      </c>
      <c r="D15" s="63" t="s">
        <v>53</v>
      </c>
      <c r="E15" s="1">
        <v>0.1207</v>
      </c>
      <c r="F15" s="39">
        <f>F9*E15</f>
        <v>71213</v>
      </c>
      <c r="G15" s="45">
        <f>IFERROR(F15/$F$13*100,"")</f>
        <v>13.638418079096045</v>
      </c>
      <c r="H15" s="5"/>
    </row>
    <row r="16" spans="2:15" x14ac:dyDescent="0.25">
      <c r="B16" s="37" t="s">
        <v>14</v>
      </c>
      <c r="C16" s="35" t="s">
        <v>15</v>
      </c>
      <c r="D16" s="39" t="s">
        <v>54</v>
      </c>
      <c r="E16" s="23">
        <v>4.2999999999999997E-2</v>
      </c>
      <c r="F16" s="39">
        <f>F9*E16</f>
        <v>25369.999999999996</v>
      </c>
      <c r="G16" s="45">
        <f t="shared" ref="G16:G18" si="0">IFERROR(F16/$F$13*100,"")</f>
        <v>4.8587570621468918</v>
      </c>
      <c r="H16" s="5"/>
    </row>
    <row r="17" spans="2:12" x14ac:dyDescent="0.25">
      <c r="B17" s="47" t="s">
        <v>16</v>
      </c>
      <c r="C17" s="35" t="s">
        <v>17</v>
      </c>
      <c r="D17" s="63" t="s">
        <v>69</v>
      </c>
      <c r="E17" s="1">
        <v>3.4000000000000002E-2</v>
      </c>
      <c r="F17" s="39">
        <f>F9*E17</f>
        <v>20060</v>
      </c>
      <c r="G17" s="45">
        <f t="shared" si="0"/>
        <v>3.8418079096045199</v>
      </c>
      <c r="H17" s="5"/>
    </row>
    <row r="18" spans="2:12" x14ac:dyDescent="0.25">
      <c r="B18" s="47" t="s">
        <v>18</v>
      </c>
      <c r="C18" s="16" t="s">
        <v>72</v>
      </c>
      <c r="D18" s="17" t="s">
        <v>55</v>
      </c>
      <c r="E18" s="2">
        <v>3.7999999999999999E-2</v>
      </c>
      <c r="F18" s="17">
        <f>F9*E18</f>
        <v>22420</v>
      </c>
      <c r="G18" s="22">
        <f t="shared" si="0"/>
        <v>4.2937853107344628</v>
      </c>
      <c r="H18" s="5"/>
    </row>
    <row r="19" spans="2:12" x14ac:dyDescent="0.25">
      <c r="B19" s="37"/>
      <c r="C19" s="35"/>
      <c r="D19" s="35"/>
      <c r="E19" s="35"/>
      <c r="F19" s="35"/>
      <c r="G19" s="45"/>
      <c r="H19" s="5"/>
    </row>
    <row r="20" spans="2:12" x14ac:dyDescent="0.25">
      <c r="B20" s="47" t="s">
        <v>19</v>
      </c>
      <c r="C20" s="35" t="s">
        <v>20</v>
      </c>
      <c r="D20" s="35"/>
      <c r="E20" s="39"/>
      <c r="F20" s="39">
        <f>F9*(1+E15)</f>
        <v>661213</v>
      </c>
      <c r="G20" s="45">
        <f>IFERROR(F20/$F$13*100,"")</f>
        <v>126.63276836158192</v>
      </c>
      <c r="H20" s="5"/>
    </row>
    <row r="21" spans="2:12" x14ac:dyDescent="0.25">
      <c r="B21" s="37"/>
      <c r="C21" s="35"/>
      <c r="D21" s="35"/>
      <c r="E21" s="35"/>
      <c r="F21" s="39"/>
      <c r="G21" s="45"/>
      <c r="H21" s="5"/>
    </row>
    <row r="22" spans="2:12" x14ac:dyDescent="0.25">
      <c r="B22" s="37" t="s">
        <v>21</v>
      </c>
      <c r="C22" s="35" t="s">
        <v>22</v>
      </c>
      <c r="D22" s="39" t="s">
        <v>56</v>
      </c>
      <c r="E22" s="48">
        <v>0.115</v>
      </c>
      <c r="F22" s="39">
        <f t="shared" ref="F22:F27" si="1">$F$20*E22</f>
        <v>76039.49500000001</v>
      </c>
      <c r="G22" s="45">
        <f>IFERROR(F22/$F$13*100,"")</f>
        <v>14.562768361581924</v>
      </c>
      <c r="H22" s="5"/>
    </row>
    <row r="23" spans="2:12" x14ac:dyDescent="0.25">
      <c r="B23" s="37" t="s">
        <v>23</v>
      </c>
      <c r="C23" s="35" t="s">
        <v>24</v>
      </c>
      <c r="D23" s="39" t="s">
        <v>57</v>
      </c>
      <c r="E23" s="49">
        <v>1.2999999999999999E-2</v>
      </c>
      <c r="F23" s="39">
        <f t="shared" si="1"/>
        <v>8595.7690000000002</v>
      </c>
      <c r="G23" s="45">
        <f t="shared" ref="G23:G34" si="2">IFERROR(F23/$F$13*100,"")</f>
        <v>1.646225988700565</v>
      </c>
      <c r="H23" s="5"/>
    </row>
    <row r="24" spans="2:12" x14ac:dyDescent="0.25">
      <c r="B24" s="37" t="s">
        <v>25</v>
      </c>
      <c r="C24" s="35" t="s">
        <v>26</v>
      </c>
      <c r="D24" s="39" t="s">
        <v>58</v>
      </c>
      <c r="E24" s="48">
        <v>0.01</v>
      </c>
      <c r="F24" s="39">
        <f t="shared" si="1"/>
        <v>6612.13</v>
      </c>
      <c r="G24" s="45">
        <f t="shared" si="2"/>
        <v>1.2663276836158193</v>
      </c>
      <c r="H24" s="5"/>
    </row>
    <row r="25" spans="2:12" x14ac:dyDescent="0.25">
      <c r="B25" s="47" t="s">
        <v>27</v>
      </c>
      <c r="C25" s="35" t="s">
        <v>28</v>
      </c>
      <c r="D25" s="57" t="s">
        <v>63</v>
      </c>
      <c r="E25" s="48">
        <v>5.0000000000000001E-3</v>
      </c>
      <c r="F25" s="39">
        <f>$F$20*E25</f>
        <v>3306.0650000000001</v>
      </c>
      <c r="G25" s="45">
        <f t="shared" si="2"/>
        <v>0.63316384180790963</v>
      </c>
      <c r="H25" s="5"/>
    </row>
    <row r="26" spans="2:12" x14ac:dyDescent="0.25">
      <c r="B26" s="47" t="s">
        <v>29</v>
      </c>
      <c r="C26" s="50" t="s">
        <v>30</v>
      </c>
      <c r="D26" s="43" t="s">
        <v>31</v>
      </c>
      <c r="E26" s="48">
        <v>3.0000000000000001E-3</v>
      </c>
      <c r="F26" s="39">
        <f t="shared" si="1"/>
        <v>1983.6390000000001</v>
      </c>
      <c r="G26" s="45">
        <f t="shared" si="2"/>
        <v>0.37989830508474581</v>
      </c>
      <c r="H26" s="5"/>
    </row>
    <row r="27" spans="2:12" x14ac:dyDescent="0.25">
      <c r="B27" s="47" t="s">
        <v>32</v>
      </c>
      <c r="C27" s="50" t="s">
        <v>33</v>
      </c>
      <c r="D27" s="39" t="s">
        <v>60</v>
      </c>
      <c r="E27" s="48">
        <v>1E-3</v>
      </c>
      <c r="F27" s="39">
        <f t="shared" si="1"/>
        <v>661.21299999999997</v>
      </c>
      <c r="G27" s="45">
        <f t="shared" si="2"/>
        <v>0.12663276836158191</v>
      </c>
      <c r="H27" s="5"/>
    </row>
    <row r="28" spans="2:12" x14ac:dyDescent="0.25">
      <c r="B28" s="47" t="s">
        <v>34</v>
      </c>
      <c r="C28" s="35" t="s">
        <v>35</v>
      </c>
      <c r="D28" s="39" t="s">
        <v>61</v>
      </c>
      <c r="E28" s="42">
        <v>1300</v>
      </c>
      <c r="F28" s="39">
        <f>E28</f>
        <v>1300</v>
      </c>
      <c r="G28" s="45">
        <f t="shared" si="2"/>
        <v>0.24897060231734175</v>
      </c>
      <c r="H28" s="5"/>
    </row>
    <row r="29" spans="2:12" x14ac:dyDescent="0.25">
      <c r="B29" s="47" t="s">
        <v>36</v>
      </c>
      <c r="C29" s="35" t="s">
        <v>37</v>
      </c>
      <c r="D29" s="39" t="s">
        <v>79</v>
      </c>
      <c r="E29" s="48">
        <v>6.3500000000000001E-2</v>
      </c>
      <c r="F29" s="39">
        <f>(($F$20*(1+E22+E23))+F31)*E29</f>
        <v>47361.364763999998</v>
      </c>
      <c r="G29" s="45">
        <f t="shared" si="2"/>
        <v>9.0704519322033903</v>
      </c>
      <c r="H29" s="5"/>
      <c r="K29" s="21"/>
      <c r="L29" s="3"/>
    </row>
    <row r="30" spans="2:12" x14ac:dyDescent="0.25">
      <c r="B30" s="47" t="s">
        <v>38</v>
      </c>
      <c r="C30" s="35" t="s">
        <v>39</v>
      </c>
      <c r="D30" s="39" t="s">
        <v>62</v>
      </c>
      <c r="E30" s="48">
        <v>3.5000000000000001E-3</v>
      </c>
      <c r="F30" s="39">
        <f>$E$8*E30/12</f>
        <v>2304.1666666666665</v>
      </c>
      <c r="G30" s="45">
        <f t="shared" si="2"/>
        <v>0.44128443295349357</v>
      </c>
      <c r="H30" s="5"/>
    </row>
    <row r="31" spans="2:12" x14ac:dyDescent="0.25">
      <c r="B31" s="47" t="s">
        <v>40</v>
      </c>
      <c r="C31" s="42" t="s">
        <v>77</v>
      </c>
      <c r="D31" s="42" t="s">
        <v>80</v>
      </c>
      <c r="E31" s="39"/>
      <c r="F31" s="42">
        <v>0</v>
      </c>
      <c r="G31" s="45">
        <f t="shared" si="2"/>
        <v>0</v>
      </c>
      <c r="H31" s="5"/>
      <c r="I31" s="6"/>
    </row>
    <row r="32" spans="2:12" x14ac:dyDescent="0.25">
      <c r="B32" s="47" t="s">
        <v>49</v>
      </c>
      <c r="C32" s="42" t="s">
        <v>76</v>
      </c>
      <c r="D32" s="42"/>
      <c r="E32" s="39"/>
      <c r="F32" s="42">
        <v>0</v>
      </c>
      <c r="G32" s="45">
        <f t="shared" si="2"/>
        <v>0</v>
      </c>
      <c r="H32" s="5"/>
      <c r="I32" s="6"/>
    </row>
    <row r="33" spans="2:9" x14ac:dyDescent="0.25">
      <c r="B33" s="47" t="s">
        <v>73</v>
      </c>
      <c r="C33" s="42" t="s">
        <v>76</v>
      </c>
      <c r="D33" s="42"/>
      <c r="E33" s="39"/>
      <c r="F33" s="42">
        <v>0</v>
      </c>
      <c r="G33" s="45">
        <f t="shared" si="2"/>
        <v>0</v>
      </c>
      <c r="H33" s="5"/>
      <c r="I33" s="6"/>
    </row>
    <row r="34" spans="2:9" x14ac:dyDescent="0.25">
      <c r="B34" s="47" t="s">
        <v>74</v>
      </c>
      <c r="C34" s="42" t="s">
        <v>76</v>
      </c>
      <c r="D34" s="42"/>
      <c r="E34" s="39"/>
      <c r="F34" s="42">
        <v>0</v>
      </c>
      <c r="G34" s="45">
        <f t="shared" si="2"/>
        <v>0</v>
      </c>
      <c r="H34" s="5"/>
      <c r="I34" s="6"/>
    </row>
    <row r="35" spans="2:9" x14ac:dyDescent="0.25">
      <c r="B35" s="37"/>
      <c r="C35" s="35"/>
      <c r="D35" s="35"/>
      <c r="E35" s="35"/>
      <c r="F35" s="39"/>
      <c r="G35" s="45"/>
      <c r="H35" s="5"/>
      <c r="I35" s="3"/>
    </row>
    <row r="36" spans="2:9" x14ac:dyDescent="0.25">
      <c r="B36" s="51" t="s">
        <v>75</v>
      </c>
      <c r="C36" s="41" t="s">
        <v>41</v>
      </c>
      <c r="D36" s="41"/>
      <c r="E36" s="41"/>
      <c r="F36" s="52"/>
      <c r="G36" s="53"/>
      <c r="H36" s="8"/>
      <c r="I36" s="7"/>
    </row>
    <row r="37" spans="2:9" x14ac:dyDescent="0.25">
      <c r="B37" s="51"/>
      <c r="C37" s="41" t="s">
        <v>42</v>
      </c>
      <c r="D37" s="41"/>
      <c r="E37" s="41"/>
      <c r="F37" s="54">
        <f>F20+SUM(F22:F34)</f>
        <v>809376.84243066667</v>
      </c>
      <c r="G37" s="53">
        <f>IFERROR(G20+SUM(G22:G34),"")</f>
        <v>155.00849227820871</v>
      </c>
      <c r="H37" s="8"/>
      <c r="I37" s="7"/>
    </row>
    <row r="38" spans="2:9" x14ac:dyDescent="0.25">
      <c r="B38" s="37"/>
      <c r="C38" s="35"/>
      <c r="D38" s="35"/>
      <c r="E38" s="35"/>
      <c r="F38" s="39"/>
      <c r="G38" s="45"/>
      <c r="H38" s="5"/>
      <c r="I38" s="3"/>
    </row>
    <row r="39" spans="2:9" x14ac:dyDescent="0.25">
      <c r="B39" s="37"/>
      <c r="C39" s="35"/>
      <c r="D39" s="50"/>
      <c r="E39" s="50"/>
      <c r="F39" s="54"/>
      <c r="G39" s="55"/>
      <c r="H39" s="9"/>
      <c r="I39" s="3"/>
    </row>
    <row r="40" spans="2:9" x14ac:dyDescent="0.25">
      <c r="B40" s="37"/>
      <c r="C40" s="39"/>
      <c r="D40" s="10" t="s">
        <v>43</v>
      </c>
      <c r="E40" s="10"/>
      <c r="F40" s="11"/>
      <c r="G40" s="12" t="s">
        <v>44</v>
      </c>
      <c r="H40" s="13"/>
      <c r="I40" s="3"/>
    </row>
    <row r="41" spans="2:9" x14ac:dyDescent="0.25">
      <c r="B41" s="37"/>
      <c r="C41" s="39"/>
      <c r="D41" s="35" t="s">
        <v>45</v>
      </c>
      <c r="E41" s="35"/>
      <c r="F41" s="39"/>
      <c r="G41" s="14">
        <f>IFERROR(G20/100-1,"")</f>
        <v>0.26632768361581927</v>
      </c>
      <c r="H41" s="15"/>
      <c r="I41" s="3"/>
    </row>
    <row r="42" spans="2:9" x14ac:dyDescent="0.25">
      <c r="B42" s="37"/>
      <c r="C42" s="39"/>
      <c r="D42" s="16" t="s">
        <v>46</v>
      </c>
      <c r="E42" s="16"/>
      <c r="F42" s="17"/>
      <c r="G42" s="18">
        <f>IFERROR(G43-G41,"")</f>
        <v>0.28375723916626772</v>
      </c>
      <c r="H42" s="15"/>
      <c r="I42" s="3"/>
    </row>
    <row r="43" spans="2:9" x14ac:dyDescent="0.25">
      <c r="B43" s="37"/>
      <c r="C43" s="39"/>
      <c r="D43" s="41" t="s">
        <v>47</v>
      </c>
      <c r="E43" s="41"/>
      <c r="F43" s="39"/>
      <c r="G43" s="19">
        <f>IFERROR(G37/100-1,"")</f>
        <v>0.55008492278208698</v>
      </c>
      <c r="H43" s="15"/>
      <c r="I43" s="3"/>
    </row>
    <row r="44" spans="2:9" x14ac:dyDescent="0.25">
      <c r="B44" s="56"/>
      <c r="C44" s="17"/>
      <c r="D44" s="17"/>
      <c r="E44" s="17"/>
      <c r="F44" s="17"/>
      <c r="G44" s="17"/>
      <c r="H44" s="20"/>
    </row>
  </sheetData>
  <sheetProtection algorithmName="SHA-512" hashValue="j28PXakCGL/mT+pyoJpIFvhy7AJ1k8QdMKBd2f4PwosLkDZ9mLuL4s780J7+1G0JsXypKsUjP9w5DLCyNdselw==" saltValue="iuB/fxGcE2WZHcw9WQ+3KA==" spinCount="100000" sheet="1" objects="1" scenarios="1"/>
  <mergeCells count="1">
    <mergeCell ref="B4:G4"/>
  </mergeCell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Button 1">
              <controlPr defaultSize="0" print="0" autoFill="0" autoPict="0" macro="[0]!skrifstfolk">
                <anchor moveWithCells="1" sizeWithCells="1">
                  <from>
                    <xdr:col>1</xdr:col>
                    <xdr:colOff>57150</xdr:colOff>
                    <xdr:row>1</xdr:row>
                    <xdr:rowOff>85725</xdr:rowOff>
                  </from>
                  <to>
                    <xdr:col>2</xdr:col>
                    <xdr:colOff>1476375</xdr:colOff>
                    <xdr:row>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F8EAD-E67B-41D9-88AF-6C4515CE69FC}">
  <sheetPr codeName="Sheet9"/>
  <dimension ref="B2:O44"/>
  <sheetViews>
    <sheetView zoomScale="115" zoomScaleNormal="115" workbookViewId="0">
      <selection activeCell="M19" sqref="M19"/>
    </sheetView>
  </sheetViews>
  <sheetFormatPr defaultColWidth="9.140625" defaultRowHeight="15" x14ac:dyDescent="0.25"/>
  <cols>
    <col min="1" max="1" width="9.140625" style="4"/>
    <col min="2" max="2" width="3.85546875" style="4" bestFit="1" customWidth="1"/>
    <col min="3" max="3" width="33.7109375" style="4" customWidth="1"/>
    <col min="4" max="4" width="48.140625" style="4" bestFit="1" customWidth="1"/>
    <col min="5" max="5" width="11.140625" style="4" bestFit="1" customWidth="1"/>
    <col min="6" max="6" width="10.7109375" style="4" customWidth="1"/>
    <col min="7" max="7" width="13.140625" style="4" customWidth="1"/>
    <col min="8" max="8" width="0.85546875" style="4" customWidth="1"/>
    <col min="9" max="14" width="9.140625" style="4"/>
    <col min="15" max="15" width="14.5703125" style="4" customWidth="1"/>
    <col min="16" max="18" width="9.140625" style="4"/>
    <col min="19" max="19" width="11.28515625" style="4" bestFit="1" customWidth="1"/>
    <col min="20" max="16384" width="9.140625" style="4"/>
  </cols>
  <sheetData>
    <row r="2" spans="2:15" x14ac:dyDescent="0.25">
      <c r="B2" s="36"/>
      <c r="C2" s="28"/>
      <c r="D2" s="28"/>
      <c r="E2" s="28"/>
      <c r="F2" s="29" t="s">
        <v>0</v>
      </c>
      <c r="G2" s="30">
        <v>44573</v>
      </c>
      <c r="H2" s="31"/>
      <c r="I2" s="3"/>
    </row>
    <row r="3" spans="2:15" x14ac:dyDescent="0.25">
      <c r="B3" s="37"/>
      <c r="C3" s="38"/>
      <c r="D3" s="38"/>
      <c r="E3" s="38"/>
      <c r="F3" s="39"/>
      <c r="G3" s="40"/>
      <c r="H3" s="32"/>
      <c r="I3" s="3"/>
    </row>
    <row r="4" spans="2:15" ht="18.75" x14ac:dyDescent="0.3">
      <c r="B4" s="67" t="s">
        <v>65</v>
      </c>
      <c r="C4" s="68"/>
      <c r="D4" s="68"/>
      <c r="E4" s="68"/>
      <c r="F4" s="68"/>
      <c r="G4" s="68"/>
      <c r="H4" s="33"/>
      <c r="I4" s="3"/>
      <c r="O4" s="21"/>
    </row>
    <row r="5" spans="2:15" x14ac:dyDescent="0.25">
      <c r="B5" s="37"/>
      <c r="C5" s="64" t="s">
        <v>51</v>
      </c>
      <c r="D5" s="41"/>
      <c r="E5" s="41"/>
      <c r="F5" s="39"/>
      <c r="G5" s="35"/>
      <c r="H5" s="24"/>
      <c r="I5" s="3"/>
    </row>
    <row r="6" spans="2:15" x14ac:dyDescent="0.25">
      <c r="B6" s="37"/>
      <c r="C6" s="35" t="s">
        <v>2</v>
      </c>
      <c r="D6" s="35"/>
      <c r="E6" s="35"/>
      <c r="F6" s="39"/>
      <c r="G6" s="35"/>
      <c r="H6" s="24"/>
      <c r="I6" s="3"/>
    </row>
    <row r="7" spans="2:15" x14ac:dyDescent="0.25">
      <c r="B7" s="37"/>
      <c r="C7" s="16"/>
      <c r="D7" s="25" t="s">
        <v>50</v>
      </c>
      <c r="E7" s="10" t="s">
        <v>48</v>
      </c>
      <c r="F7" s="17"/>
      <c r="G7" s="16"/>
      <c r="H7" s="34"/>
      <c r="I7" s="3"/>
    </row>
    <row r="8" spans="2:15" x14ac:dyDescent="0.25">
      <c r="B8" s="37" t="s">
        <v>3</v>
      </c>
      <c r="C8" s="35" t="s">
        <v>4</v>
      </c>
      <c r="D8" s="35" t="s">
        <v>81</v>
      </c>
      <c r="E8" s="42">
        <v>10500000</v>
      </c>
      <c r="F8" s="39"/>
      <c r="G8" s="35"/>
      <c r="H8" s="24"/>
    </row>
    <row r="9" spans="2:15" x14ac:dyDescent="0.25">
      <c r="B9" s="37" t="s">
        <v>5</v>
      </c>
      <c r="C9" s="35" t="s">
        <v>6</v>
      </c>
      <c r="D9" s="35"/>
      <c r="E9" s="39"/>
      <c r="F9" s="39">
        <f>ROUND(E8/12/(1+E15)/10000,0)*10000</f>
        <v>780000</v>
      </c>
      <c r="G9" s="35"/>
      <c r="H9" s="24"/>
    </row>
    <row r="10" spans="2:15" x14ac:dyDescent="0.25">
      <c r="B10" s="37"/>
      <c r="C10" s="35"/>
      <c r="D10" s="35"/>
      <c r="E10" s="39"/>
      <c r="F10" s="39"/>
      <c r="G10" s="35"/>
      <c r="H10" s="24"/>
    </row>
    <row r="11" spans="2:15" x14ac:dyDescent="0.25">
      <c r="B11" s="37"/>
      <c r="C11" s="35"/>
      <c r="D11" s="35"/>
      <c r="E11" s="35"/>
      <c r="F11" s="39"/>
      <c r="G11" s="35"/>
      <c r="H11" s="24"/>
    </row>
    <row r="12" spans="2:15" x14ac:dyDescent="0.25">
      <c r="B12" s="37"/>
      <c r="C12" s="16"/>
      <c r="D12" s="17"/>
      <c r="E12" s="16"/>
      <c r="F12" s="26" t="s">
        <v>7</v>
      </c>
      <c r="G12" s="62" t="s">
        <v>71</v>
      </c>
      <c r="H12" s="27"/>
    </row>
    <row r="13" spans="2:15" x14ac:dyDescent="0.25">
      <c r="B13" s="37" t="s">
        <v>8</v>
      </c>
      <c r="C13" s="35" t="s">
        <v>9</v>
      </c>
      <c r="D13" s="43" t="s">
        <v>66</v>
      </c>
      <c r="E13" s="35"/>
      <c r="F13" s="44">
        <f>F20-SUM(F15:F18)</f>
        <v>716820</v>
      </c>
      <c r="G13" s="45">
        <f>IFERROR(F13/$F$13*100,"")</f>
        <v>100</v>
      </c>
      <c r="H13" s="5"/>
    </row>
    <row r="14" spans="2:15" x14ac:dyDescent="0.25">
      <c r="B14" s="37"/>
      <c r="C14" s="35"/>
      <c r="D14" s="39"/>
      <c r="E14" s="46"/>
      <c r="F14" s="39"/>
      <c r="G14" s="45"/>
      <c r="H14" s="5"/>
    </row>
    <row r="15" spans="2:15" x14ac:dyDescent="0.25">
      <c r="B15" s="37" t="s">
        <v>11</v>
      </c>
      <c r="C15" s="35" t="s">
        <v>12</v>
      </c>
      <c r="D15" s="63" t="s">
        <v>53</v>
      </c>
      <c r="E15" s="1">
        <v>0.1207</v>
      </c>
      <c r="F15" s="39">
        <f>F9*E15</f>
        <v>94146</v>
      </c>
      <c r="G15" s="45">
        <f>IFERROR(F15/$F$13*100,"")</f>
        <v>13.133841131664854</v>
      </c>
      <c r="H15" s="5"/>
      <c r="M15" s="66"/>
    </row>
    <row r="16" spans="2:15" x14ac:dyDescent="0.25">
      <c r="B16" s="37" t="s">
        <v>14</v>
      </c>
      <c r="C16" s="35" t="s">
        <v>15</v>
      </c>
      <c r="D16" s="39" t="s">
        <v>54</v>
      </c>
      <c r="E16" s="23">
        <v>4.2999999999999997E-2</v>
      </c>
      <c r="F16" s="39">
        <f>F9*E16</f>
        <v>33540</v>
      </c>
      <c r="G16" s="45">
        <f t="shared" ref="G16:G17" si="0">IFERROR(F16/$F$13*100,"")</f>
        <v>4.6789989118607185</v>
      </c>
      <c r="H16" s="5"/>
    </row>
    <row r="17" spans="2:14" x14ac:dyDescent="0.25">
      <c r="B17" s="47" t="s">
        <v>16</v>
      </c>
      <c r="C17" s="4" t="s">
        <v>17</v>
      </c>
      <c r="D17" s="61" t="s">
        <v>70</v>
      </c>
      <c r="E17" s="1">
        <v>0</v>
      </c>
      <c r="F17" s="39">
        <f>F9*E17</f>
        <v>0</v>
      </c>
      <c r="G17" s="45">
        <f t="shared" si="0"/>
        <v>0</v>
      </c>
      <c r="H17" s="5"/>
    </row>
    <row r="18" spans="2:14" x14ac:dyDescent="0.25">
      <c r="B18" s="58" t="s">
        <v>18</v>
      </c>
      <c r="C18" s="16" t="s">
        <v>72</v>
      </c>
      <c r="D18" s="17" t="s">
        <v>55</v>
      </c>
      <c r="E18" s="2">
        <v>3.7999999999999999E-2</v>
      </c>
      <c r="F18" s="17">
        <f>F9*E18</f>
        <v>29640</v>
      </c>
      <c r="G18" s="22">
        <f>IFERROR(F18/$F$13*100,"")</f>
        <v>4.1349292709466816</v>
      </c>
      <c r="H18" s="5"/>
    </row>
    <row r="19" spans="2:14" x14ac:dyDescent="0.25">
      <c r="B19" s="37"/>
      <c r="C19" s="35"/>
      <c r="D19" s="35"/>
      <c r="E19" s="35"/>
      <c r="F19" s="35"/>
      <c r="G19" s="45"/>
      <c r="H19" s="5"/>
    </row>
    <row r="20" spans="2:14" x14ac:dyDescent="0.25">
      <c r="B20" s="47" t="s">
        <v>19</v>
      </c>
      <c r="C20" s="35" t="s">
        <v>20</v>
      </c>
      <c r="D20" s="35"/>
      <c r="E20" s="39"/>
      <c r="F20" s="39">
        <f>F9*(1+E15)</f>
        <v>874146</v>
      </c>
      <c r="G20" s="45">
        <f>IFERROR(F20/$F$13*100,"")</f>
        <v>121.94776931447224</v>
      </c>
      <c r="H20" s="5"/>
      <c r="L20" s="60"/>
    </row>
    <row r="21" spans="2:14" x14ac:dyDescent="0.25">
      <c r="B21" s="37"/>
      <c r="C21" s="35"/>
      <c r="D21" s="35"/>
      <c r="E21" s="35"/>
      <c r="F21" s="39"/>
      <c r="G21" s="45"/>
      <c r="H21" s="5"/>
      <c r="L21" s="60"/>
      <c r="M21" s="59"/>
      <c r="N21" s="60"/>
    </row>
    <row r="22" spans="2:14" x14ac:dyDescent="0.25">
      <c r="B22" s="37" t="s">
        <v>21</v>
      </c>
      <c r="C22" s="35" t="s">
        <v>22</v>
      </c>
      <c r="D22" s="39" t="s">
        <v>56</v>
      </c>
      <c r="E22" s="48">
        <v>0.115</v>
      </c>
      <c r="F22" s="39">
        <f>$F$20*E22</f>
        <v>100526.79000000001</v>
      </c>
      <c r="G22" s="45">
        <f>IFERROR(F22/$F$13*100,"")</f>
        <v>14.023993471164308</v>
      </c>
      <c r="H22" s="5"/>
    </row>
    <row r="23" spans="2:14" x14ac:dyDescent="0.25">
      <c r="B23" s="37" t="s">
        <v>23</v>
      </c>
      <c r="C23" s="35" t="s">
        <v>24</v>
      </c>
      <c r="D23" s="39" t="s">
        <v>57</v>
      </c>
      <c r="E23" s="49">
        <v>1.2999999999999999E-2</v>
      </c>
      <c r="F23" s="39">
        <f t="shared" ref="F23:F27" si="1">$F$20*E23</f>
        <v>11363.897999999999</v>
      </c>
      <c r="G23" s="45">
        <f t="shared" ref="G23:G34" si="2">IFERROR(F23/$F$13*100,"")</f>
        <v>1.5853210010881393</v>
      </c>
      <c r="H23" s="5"/>
    </row>
    <row r="24" spans="2:14" x14ac:dyDescent="0.25">
      <c r="B24" s="37" t="s">
        <v>25</v>
      </c>
      <c r="C24" s="35" t="s">
        <v>26</v>
      </c>
      <c r="D24" s="39" t="s">
        <v>58</v>
      </c>
      <c r="E24" s="49">
        <v>0.01</v>
      </c>
      <c r="F24" s="39">
        <f t="shared" si="1"/>
        <v>8741.4600000000009</v>
      </c>
      <c r="G24" s="45">
        <f t="shared" si="2"/>
        <v>1.2194776931447227</v>
      </c>
      <c r="H24" s="5"/>
    </row>
    <row r="25" spans="2:14" x14ac:dyDescent="0.25">
      <c r="B25" s="47" t="s">
        <v>27</v>
      </c>
      <c r="C25" s="35" t="s">
        <v>28</v>
      </c>
      <c r="D25" s="39" t="s">
        <v>59</v>
      </c>
      <c r="E25" s="49">
        <v>2.5000000000000001E-3</v>
      </c>
      <c r="F25" s="39">
        <f>$F$20*E25</f>
        <v>2185.3650000000002</v>
      </c>
      <c r="G25" s="45">
        <f t="shared" si="2"/>
        <v>0.30486942328618066</v>
      </c>
      <c r="H25" s="5"/>
    </row>
    <row r="26" spans="2:14" x14ac:dyDescent="0.25">
      <c r="B26" s="47" t="s">
        <v>29</v>
      </c>
      <c r="C26" s="35" t="s">
        <v>30</v>
      </c>
      <c r="D26" s="57" t="s">
        <v>78</v>
      </c>
      <c r="E26" s="49">
        <v>5.0000000000000001E-3</v>
      </c>
      <c r="F26" s="39">
        <f t="shared" si="1"/>
        <v>4370.7300000000005</v>
      </c>
      <c r="G26" s="45">
        <f t="shared" si="2"/>
        <v>0.60973884657236133</v>
      </c>
      <c r="H26" s="5"/>
    </row>
    <row r="27" spans="2:14" x14ac:dyDescent="0.25">
      <c r="B27" s="47" t="s">
        <v>32</v>
      </c>
      <c r="C27" s="50" t="s">
        <v>33</v>
      </c>
      <c r="D27" s="39" t="s">
        <v>60</v>
      </c>
      <c r="E27" s="49">
        <v>1E-3</v>
      </c>
      <c r="F27" s="39">
        <f t="shared" si="1"/>
        <v>874.14600000000007</v>
      </c>
      <c r="G27" s="45">
        <f t="shared" si="2"/>
        <v>0.12194776931447227</v>
      </c>
      <c r="H27" s="5"/>
    </row>
    <row r="28" spans="2:14" x14ac:dyDescent="0.25">
      <c r="B28" s="47" t="s">
        <v>34</v>
      </c>
      <c r="C28" s="35" t="s">
        <v>35</v>
      </c>
      <c r="D28" s="39" t="s">
        <v>61</v>
      </c>
      <c r="E28" s="42">
        <v>3500</v>
      </c>
      <c r="F28" s="39">
        <f>E28</f>
        <v>3500</v>
      </c>
      <c r="G28" s="45">
        <f t="shared" si="2"/>
        <v>0.48826762646131522</v>
      </c>
      <c r="H28" s="5"/>
    </row>
    <row r="29" spans="2:14" x14ac:dyDescent="0.25">
      <c r="B29" s="47" t="s">
        <v>36</v>
      </c>
      <c r="C29" s="35" t="s">
        <v>37</v>
      </c>
      <c r="D29" s="39" t="s">
        <v>79</v>
      </c>
      <c r="E29" s="48">
        <v>6.3500000000000001E-2</v>
      </c>
      <c r="F29" s="39">
        <f>(($F$20*(1+E22+E23))+F31)*E29</f>
        <v>62613.329687999991</v>
      </c>
      <c r="G29" s="45">
        <f t="shared" si="2"/>
        <v>8.7348748204570175</v>
      </c>
      <c r="H29" s="5"/>
      <c r="K29" s="21"/>
      <c r="L29" s="3"/>
    </row>
    <row r="30" spans="2:14" x14ac:dyDescent="0.25">
      <c r="B30" s="47" t="s">
        <v>38</v>
      </c>
      <c r="C30" s="35" t="s">
        <v>39</v>
      </c>
      <c r="D30" s="39" t="s">
        <v>62</v>
      </c>
      <c r="E30" s="48">
        <v>3.5000000000000001E-3</v>
      </c>
      <c r="F30" s="39">
        <f>$E$8*E30/12</f>
        <v>3062.5</v>
      </c>
      <c r="G30" s="45">
        <f t="shared" si="2"/>
        <v>0.42723417315365081</v>
      </c>
      <c r="H30" s="5"/>
    </row>
    <row r="31" spans="2:14" x14ac:dyDescent="0.25">
      <c r="B31" s="47" t="s">
        <v>40</v>
      </c>
      <c r="C31" s="42" t="s">
        <v>77</v>
      </c>
      <c r="D31" s="42" t="s">
        <v>80</v>
      </c>
      <c r="E31" s="39"/>
      <c r="F31" s="42">
        <v>0</v>
      </c>
      <c r="G31" s="45">
        <f t="shared" si="2"/>
        <v>0</v>
      </c>
      <c r="H31" s="5"/>
      <c r="I31" s="6"/>
    </row>
    <row r="32" spans="2:14" x14ac:dyDescent="0.25">
      <c r="B32" s="47" t="s">
        <v>49</v>
      </c>
      <c r="C32" s="42" t="s">
        <v>76</v>
      </c>
      <c r="D32" s="42"/>
      <c r="E32" s="39"/>
      <c r="F32" s="42">
        <v>0</v>
      </c>
      <c r="G32" s="45">
        <f t="shared" si="2"/>
        <v>0</v>
      </c>
      <c r="H32" s="5"/>
      <c r="I32" s="6"/>
    </row>
    <row r="33" spans="2:9" x14ac:dyDescent="0.25">
      <c r="B33" s="47" t="s">
        <v>73</v>
      </c>
      <c r="C33" s="42" t="s">
        <v>76</v>
      </c>
      <c r="D33" s="42"/>
      <c r="E33" s="39"/>
      <c r="F33" s="42">
        <v>0</v>
      </c>
      <c r="G33" s="45">
        <f t="shared" si="2"/>
        <v>0</v>
      </c>
      <c r="H33" s="5"/>
      <c r="I33" s="6"/>
    </row>
    <row r="34" spans="2:9" x14ac:dyDescent="0.25">
      <c r="B34" s="47" t="s">
        <v>74</v>
      </c>
      <c r="C34" s="42" t="s">
        <v>76</v>
      </c>
      <c r="D34" s="42"/>
      <c r="E34" s="39"/>
      <c r="F34" s="42">
        <v>0</v>
      </c>
      <c r="G34" s="45">
        <f t="shared" si="2"/>
        <v>0</v>
      </c>
      <c r="H34" s="5"/>
      <c r="I34" s="6"/>
    </row>
    <row r="35" spans="2:9" x14ac:dyDescent="0.25">
      <c r="B35" s="37"/>
      <c r="C35" s="35"/>
      <c r="D35" s="35"/>
      <c r="E35" s="35"/>
      <c r="F35" s="39"/>
      <c r="G35" s="45"/>
      <c r="H35" s="5"/>
      <c r="I35" s="3"/>
    </row>
    <row r="36" spans="2:9" x14ac:dyDescent="0.25">
      <c r="B36" s="51" t="s">
        <v>75</v>
      </c>
      <c r="C36" s="41" t="s">
        <v>41</v>
      </c>
      <c r="D36" s="41"/>
      <c r="E36" s="41"/>
      <c r="F36" s="52"/>
      <c r="G36" s="53"/>
      <c r="H36" s="8"/>
      <c r="I36" s="7"/>
    </row>
    <row r="37" spans="2:9" x14ac:dyDescent="0.25">
      <c r="B37" s="51"/>
      <c r="C37" s="41" t="s">
        <v>42</v>
      </c>
      <c r="D37" s="41"/>
      <c r="E37" s="41"/>
      <c r="F37" s="54">
        <f>F20+SUM(F22:F34)</f>
        <v>1071384.218688</v>
      </c>
      <c r="G37" s="53">
        <f>IFERROR(G20+SUM(G22:G34),"")</f>
        <v>149.4634941391144</v>
      </c>
      <c r="H37" s="8"/>
      <c r="I37" s="7"/>
    </row>
    <row r="38" spans="2:9" x14ac:dyDescent="0.25">
      <c r="B38" s="37"/>
      <c r="C38" s="35"/>
      <c r="D38" s="35"/>
      <c r="E38" s="35"/>
      <c r="F38" s="39"/>
      <c r="G38" s="45"/>
      <c r="H38" s="5"/>
      <c r="I38" s="3"/>
    </row>
    <row r="39" spans="2:9" x14ac:dyDescent="0.25">
      <c r="B39" s="37"/>
      <c r="C39" s="35"/>
      <c r="D39" s="50"/>
      <c r="E39" s="50"/>
      <c r="F39" s="54"/>
      <c r="G39" s="55"/>
      <c r="H39" s="9"/>
      <c r="I39" s="3"/>
    </row>
    <row r="40" spans="2:9" x14ac:dyDescent="0.25">
      <c r="B40" s="37"/>
      <c r="C40" s="39"/>
      <c r="D40" s="10" t="s">
        <v>43</v>
      </c>
      <c r="E40" s="10"/>
      <c r="F40" s="11"/>
      <c r="G40" s="12" t="s">
        <v>44</v>
      </c>
      <c r="H40" s="13"/>
      <c r="I40" s="3"/>
    </row>
    <row r="41" spans="2:9" x14ac:dyDescent="0.25">
      <c r="B41" s="37"/>
      <c r="C41" s="39"/>
      <c r="D41" s="35" t="s">
        <v>45</v>
      </c>
      <c r="E41" s="35"/>
      <c r="F41" s="39"/>
      <c r="G41" s="14">
        <f>IFERROR(G20/100-1,"")</f>
        <v>0.21947769314472243</v>
      </c>
      <c r="H41" s="15"/>
      <c r="I41" s="3"/>
    </row>
    <row r="42" spans="2:9" x14ac:dyDescent="0.25">
      <c r="B42" s="37"/>
      <c r="C42" s="39"/>
      <c r="D42" s="16" t="s">
        <v>46</v>
      </c>
      <c r="E42" s="16"/>
      <c r="F42" s="17"/>
      <c r="G42" s="18">
        <f>IFERROR(G43-G41,"")</f>
        <v>0.27515724824642152</v>
      </c>
      <c r="H42" s="15"/>
      <c r="I42" s="3"/>
    </row>
    <row r="43" spans="2:9" x14ac:dyDescent="0.25">
      <c r="B43" s="37"/>
      <c r="C43" s="39"/>
      <c r="D43" s="41" t="s">
        <v>47</v>
      </c>
      <c r="E43" s="41"/>
      <c r="F43" s="39"/>
      <c r="G43" s="19">
        <f>IFERROR(G37/100-1,"")</f>
        <v>0.49463494139114395</v>
      </c>
      <c r="H43" s="15"/>
      <c r="I43" s="3"/>
    </row>
    <row r="44" spans="2:9" x14ac:dyDescent="0.25">
      <c r="B44" s="56"/>
      <c r="C44" s="17"/>
      <c r="D44" s="17"/>
      <c r="E44" s="17"/>
      <c r="F44" s="17"/>
      <c r="G44" s="17"/>
      <c r="H44" s="20"/>
    </row>
  </sheetData>
  <sheetProtection algorithmName="SHA-512" hashValue="g8xblzXIyWz3gNWggwT6zy2lGFNVnoLgvHbP1lQog0YRdfje0XIPk7D4xyG6yHokLQdVVYxh4/2ODEWzNG7c4Q==" saltValue="eMdC3HPVV5ZtvCC/7G8lNg==" spinCount="100000" sheet="1" objects="1" scenarios="1"/>
  <mergeCells count="1">
    <mergeCell ref="B4:G4"/>
  </mergeCell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Pict="0" macro="[0]!idnmenn">
                <anchor moveWithCells="1" sizeWithCells="1">
                  <from>
                    <xdr:col>1</xdr:col>
                    <xdr:colOff>57150</xdr:colOff>
                    <xdr:row>1</xdr:row>
                    <xdr:rowOff>85725</xdr:rowOff>
                  </from>
                  <to>
                    <xdr:col>2</xdr:col>
                    <xdr:colOff>1476375</xdr:colOff>
                    <xdr:row>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Verkafólk</vt:lpstr>
      <vt:lpstr>Afgreiðslufólk</vt:lpstr>
      <vt:lpstr>Skrifstofufólk</vt:lpstr>
      <vt:lpstr>Iðnaðarmenn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Ólafur Garðar Halldórsson</dc:creator>
  <cp:lastModifiedBy>Guðmundur Heiðar Guðmundsson</cp:lastModifiedBy>
  <dcterms:created xsi:type="dcterms:W3CDTF">2021-01-22T09:34:52Z</dcterms:created>
  <dcterms:modified xsi:type="dcterms:W3CDTF">2022-01-12T14:37:43Z</dcterms:modified>
</cp:coreProperties>
</file>